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lfy\Desktop\Loic\Immobilier\"/>
    </mc:Choice>
  </mc:AlternateContent>
  <xr:revisionPtr revIDLastSave="0" documentId="13_ncr:1_{B3797751-19F0-4BC9-8FCE-8F7E543BE868}" xr6:coauthVersionLast="47" xr6:coauthVersionMax="47" xr10:uidLastSave="{00000000-0000-0000-0000-000000000000}"/>
  <bookViews>
    <workbookView xWindow="-110" yWindow="-110" windowWidth="34620" windowHeight="14020" tabRatio="712" firstSheet="3" activeTab="5" xr2:uid="{00000000-000D-0000-FFFF-FFFF00000000}"/>
  </bookViews>
  <sheets>
    <sheet name="Banque" sheetId="4" state="hidden" r:id="rId1"/>
    <sheet name="BP Italy" sheetId="14" state="hidden" r:id="rId2"/>
    <sheet name="Business plan" sheetId="3" state="hidden" r:id="rId3"/>
    <sheet name="Journal Achat" sheetId="8" r:id="rId4"/>
    <sheet name="M" sheetId="7" state="hidden" r:id="rId5"/>
    <sheet name="2042 C-PRO" sheetId="12" r:id="rId6"/>
    <sheet name="Revenus 1 an" sheetId="2" state="hidden" r:id="rId7"/>
    <sheet name="Planning (2022)" sheetId="13" state="hidden" r:id="rId8"/>
    <sheet name="Bar a socca" sheetId="10" state="hidden" r:id="rId9"/>
  </sheets>
  <definedNames>
    <definedName name="_xlnm._FilterDatabase" localSheetId="3" hidden="1">'Journal Achat'!$A$1:$I$101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12" l="1"/>
  <c r="F4" i="12"/>
  <c r="AK25" i="13"/>
  <c r="AJ25" i="13"/>
  <c r="AI35" i="13"/>
  <c r="AK7" i="13"/>
  <c r="AJ7" i="13"/>
  <c r="AH7" i="13"/>
  <c r="AG7" i="13"/>
  <c r="E27" i="12"/>
  <c r="E25" i="12"/>
  <c r="E26" i="12"/>
  <c r="E29" i="12" l="1"/>
  <c r="E37" i="12" s="1"/>
  <c r="F101" i="8"/>
  <c r="E101" i="8"/>
  <c r="E102" i="8" s="1"/>
  <c r="C46" i="10"/>
  <c r="C44" i="10"/>
  <c r="K42" i="10"/>
  <c r="C37" i="10"/>
  <c r="O36" i="10"/>
  <c r="C36" i="10"/>
  <c r="O35" i="10"/>
  <c r="G35" i="10"/>
  <c r="C35" i="10"/>
  <c r="AH53" i="13"/>
  <c r="AH52" i="13"/>
  <c r="AH47" i="13"/>
  <c r="AH46" i="13"/>
  <c r="AM33" i="13"/>
  <c r="AM32" i="13"/>
  <c r="AM31" i="13"/>
  <c r="AM30" i="13"/>
  <c r="AM29" i="13"/>
  <c r="AM28" i="13"/>
  <c r="AM27" i="13"/>
  <c r="AM26" i="13"/>
  <c r="AM25" i="13"/>
  <c r="AH25" i="13"/>
  <c r="AG25" i="13"/>
  <c r="AM24" i="13"/>
  <c r="AM23" i="13"/>
  <c r="AK23" i="13"/>
  <c r="AJ23" i="13"/>
  <c r="AH23" i="13"/>
  <c r="AG23" i="13"/>
  <c r="AM22" i="13"/>
  <c r="AK22" i="13"/>
  <c r="AJ22" i="13"/>
  <c r="AH22" i="13"/>
  <c r="AG22" i="13"/>
  <c r="AM15" i="13"/>
  <c r="AM14" i="13"/>
  <c r="AM13" i="13"/>
  <c r="AM12" i="13"/>
  <c r="AM11" i="13"/>
  <c r="AM10" i="13"/>
  <c r="AM9" i="13"/>
  <c r="AM8" i="13"/>
  <c r="AM7" i="13"/>
  <c r="AM6" i="13"/>
  <c r="AM5" i="13"/>
  <c r="AH5" i="13"/>
  <c r="AG5" i="13"/>
  <c r="AM4" i="13"/>
  <c r="G44" i="2"/>
  <c r="G43" i="2"/>
  <c r="F33" i="2"/>
  <c r="F31" i="2"/>
  <c r="F29" i="2"/>
  <c r="F27" i="2"/>
  <c r="F24" i="2"/>
  <c r="F19" i="2"/>
  <c r="F18" i="2"/>
  <c r="D18" i="2"/>
  <c r="B18" i="2"/>
  <c r="F17" i="2"/>
  <c r="D17" i="2"/>
  <c r="B17" i="2"/>
  <c r="F16" i="2"/>
  <c r="D16" i="2"/>
  <c r="B16" i="2"/>
  <c r="F15" i="2"/>
  <c r="D15" i="2"/>
  <c r="B15" i="2"/>
  <c r="F7" i="2"/>
  <c r="E14" i="12"/>
  <c r="E13" i="12"/>
  <c r="F15" i="12" s="1"/>
  <c r="C6" i="12"/>
  <c r="E36" i="12" s="1"/>
  <c r="AD5" i="12"/>
  <c r="AC5" i="12"/>
  <c r="AB5" i="12"/>
  <c r="AA5" i="12"/>
  <c r="Z5" i="12"/>
  <c r="Y5" i="12"/>
  <c r="X5" i="12"/>
  <c r="W5" i="12"/>
  <c r="V5" i="12"/>
  <c r="U5" i="12"/>
  <c r="T5" i="12"/>
  <c r="S5" i="12"/>
  <c r="R5" i="12"/>
  <c r="Q5" i="12"/>
  <c r="P5" i="12"/>
  <c r="O5" i="12"/>
  <c r="N5" i="12"/>
  <c r="M5" i="12"/>
  <c r="L5" i="12"/>
  <c r="K5" i="12"/>
  <c r="J5" i="12"/>
  <c r="I5" i="12"/>
  <c r="H5" i="12"/>
  <c r="G5" i="12"/>
  <c r="F5" i="12"/>
  <c r="AD4" i="12"/>
  <c r="AC4" i="12"/>
  <c r="AB4" i="12"/>
  <c r="AA4" i="12"/>
  <c r="Z4" i="12"/>
  <c r="Y4" i="12"/>
  <c r="X4" i="12"/>
  <c r="W4" i="12"/>
  <c r="W6" i="12" s="1"/>
  <c r="V4" i="12"/>
  <c r="U4" i="12"/>
  <c r="T4" i="12"/>
  <c r="S4" i="12"/>
  <c r="R4" i="12"/>
  <c r="Q4" i="12"/>
  <c r="P4" i="12"/>
  <c r="O4" i="12"/>
  <c r="O6" i="12" s="1"/>
  <c r="N4" i="12"/>
  <c r="M4" i="12"/>
  <c r="L4" i="12"/>
  <c r="K4" i="12"/>
  <c r="J4" i="12"/>
  <c r="I4" i="12"/>
  <c r="H4" i="12"/>
  <c r="G4" i="12"/>
  <c r="AE4" i="12"/>
  <c r="P3" i="12"/>
  <c r="O3" i="12"/>
  <c r="N3" i="12"/>
  <c r="M3" i="12"/>
  <c r="L3" i="12"/>
  <c r="K3" i="12"/>
  <c r="J3" i="12"/>
  <c r="I3" i="12"/>
  <c r="H3" i="12"/>
  <c r="G3" i="12"/>
  <c r="P2" i="12"/>
  <c r="O2" i="12"/>
  <c r="N2" i="12"/>
  <c r="N6" i="12" s="1"/>
  <c r="M2" i="12"/>
  <c r="L2" i="12"/>
  <c r="K2" i="12"/>
  <c r="J2" i="12"/>
  <c r="J6" i="12" s="1"/>
  <c r="I2" i="12"/>
  <c r="H2" i="12"/>
  <c r="G2" i="12"/>
  <c r="H18" i="7"/>
  <c r="G18" i="7"/>
  <c r="F18" i="7"/>
  <c r="H16" i="7"/>
  <c r="G16" i="7"/>
  <c r="F16" i="7"/>
  <c r="C16" i="7"/>
  <c r="H14" i="7"/>
  <c r="G14" i="7"/>
  <c r="F14" i="7"/>
  <c r="H13" i="7"/>
  <c r="G13" i="7"/>
  <c r="F13" i="7"/>
  <c r="C13" i="7"/>
  <c r="G12" i="7"/>
  <c r="F12" i="7"/>
  <c r="G11" i="7"/>
  <c r="F11" i="7"/>
  <c r="H10" i="7"/>
  <c r="F10" i="7"/>
  <c r="C10" i="7"/>
  <c r="H9" i="7"/>
  <c r="G9" i="7"/>
  <c r="F9" i="7"/>
  <c r="C9" i="7"/>
  <c r="G8" i="7"/>
  <c r="F8" i="7"/>
  <c r="H7" i="7"/>
  <c r="H6" i="7"/>
  <c r="G5" i="7"/>
  <c r="G4" i="7"/>
  <c r="G3" i="7"/>
  <c r="F39" i="3"/>
  <c r="F35" i="3"/>
  <c r="F31" i="3"/>
  <c r="S27" i="3"/>
  <c r="S26" i="3"/>
  <c r="O26" i="3"/>
  <c r="F26" i="3"/>
  <c r="N22" i="3"/>
  <c r="F22" i="3"/>
  <c r="N21" i="3"/>
  <c r="F21" i="3"/>
  <c r="N20" i="3"/>
  <c r="O19" i="3"/>
  <c r="N19" i="3"/>
  <c r="O18" i="3"/>
  <c r="N18" i="3"/>
  <c r="Q17" i="3"/>
  <c r="O17" i="3"/>
  <c r="N17" i="3"/>
  <c r="O16" i="3"/>
  <c r="N16" i="3"/>
  <c r="O15" i="3"/>
  <c r="N15" i="3"/>
  <c r="O14" i="3"/>
  <c r="N14" i="3"/>
  <c r="L6" i="3"/>
  <c r="K6" i="3"/>
  <c r="J6" i="3"/>
  <c r="H6" i="3"/>
  <c r="F6" i="3"/>
  <c r="E6" i="3"/>
  <c r="D6" i="3"/>
  <c r="L5" i="3"/>
  <c r="K5" i="3"/>
  <c r="J5" i="3"/>
  <c r="H5" i="3"/>
  <c r="F5" i="3"/>
  <c r="E5" i="3"/>
  <c r="D5" i="3"/>
  <c r="L4" i="3"/>
  <c r="K4" i="3"/>
  <c r="J4" i="3"/>
  <c r="H4" i="3"/>
  <c r="F4" i="3"/>
  <c r="E4" i="3"/>
  <c r="D4" i="3"/>
  <c r="E33" i="14"/>
  <c r="D33" i="14"/>
  <c r="E32" i="14"/>
  <c r="D32" i="14"/>
  <c r="E29" i="14"/>
  <c r="D29" i="14"/>
  <c r="E26" i="14"/>
  <c r="D26" i="14"/>
  <c r="E23" i="14"/>
  <c r="D23" i="14"/>
  <c r="K20" i="14"/>
  <c r="F19" i="14"/>
  <c r="E19" i="14"/>
  <c r="D19" i="14"/>
  <c r="F18" i="14"/>
  <c r="D18" i="14"/>
  <c r="F17" i="14"/>
  <c r="E17" i="14"/>
  <c r="D17" i="14"/>
  <c r="F16" i="14"/>
  <c r="C58" i="4"/>
  <c r="C57" i="4"/>
  <c r="C56" i="4"/>
  <c r="U55" i="4"/>
  <c r="C55" i="4"/>
  <c r="U53" i="4"/>
  <c r="R53" i="4"/>
  <c r="O53" i="4"/>
  <c r="C53" i="4"/>
  <c r="Q48" i="4"/>
  <c r="J48" i="4"/>
  <c r="Y34" i="4"/>
  <c r="B33" i="4"/>
  <c r="B32" i="4"/>
  <c r="B31" i="4"/>
  <c r="B30" i="4"/>
  <c r="B28" i="4"/>
  <c r="B27" i="4"/>
  <c r="AA22" i="4"/>
  <c r="B18" i="4"/>
  <c r="Q17" i="4"/>
  <c r="R16" i="4"/>
  <c r="J14" i="4"/>
  <c r="J10" i="4"/>
  <c r="C9" i="4"/>
  <c r="J7" i="4"/>
  <c r="J6" i="4"/>
  <c r="G6" i="12" l="1"/>
  <c r="T6" i="12"/>
  <c r="AB6" i="12"/>
  <c r="AF3" i="12"/>
  <c r="X6" i="12"/>
  <c r="AF2" i="12"/>
  <c r="V6" i="12"/>
  <c r="AD6" i="12"/>
  <c r="R6" i="12"/>
  <c r="Z6" i="12"/>
  <c r="S6" i="12"/>
  <c r="AA6" i="12"/>
  <c r="U6" i="12"/>
  <c r="AC6" i="12"/>
  <c r="M6" i="12"/>
  <c r="AE5" i="12"/>
  <c r="J14" i="12" s="1"/>
  <c r="Q6" i="12"/>
  <c r="Y6" i="12"/>
  <c r="AF4" i="12"/>
  <c r="I14" i="12"/>
  <c r="P6" i="12"/>
  <c r="F6" i="12"/>
  <c r="I6" i="12"/>
  <c r="L6" i="12"/>
  <c r="H6" i="12"/>
  <c r="J13" i="12"/>
  <c r="I13" i="12"/>
  <c r="K6" i="12"/>
  <c r="AL35" i="13"/>
  <c r="E38" i="12"/>
  <c r="AA23" i="4"/>
  <c r="AA26" i="4" s="1"/>
  <c r="M53" i="4"/>
  <c r="B48" i="4"/>
  <c r="J53" i="4" s="1"/>
  <c r="C54" i="4"/>
  <c r="E22" i="12" l="1"/>
  <c r="E30" i="12" s="1"/>
  <c r="E42" i="12" s="1"/>
  <c r="E41" i="12" s="1"/>
  <c r="E44" i="12" s="1"/>
  <c r="I15" i="12"/>
  <c r="AF5" i="12"/>
  <c r="AF6" i="12" s="1"/>
  <c r="AE6" i="12"/>
  <c r="J15" i="12"/>
  <c r="J36" i="12" s="1"/>
  <c r="J38" i="12" s="1"/>
  <c r="H36" i="12"/>
  <c r="H38" i="12" s="1"/>
  <c r="J5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tc={C77DE6D2-065B-4B7E-A4E9-03BCF917A7A2}</author>
    <author>tc={76748226-C1E5-4CE9-B598-3FC3066CA408}</author>
    <author>tc={2CB119E6-4E8B-453F-AF58-A9614A9AD424}</author>
    <author>tc={ABC8269F-3224-4AD7-A0E3-395084184B9A}</author>
  </authors>
  <commentList>
    <comment ref="B15" authorId="0" shapeId="0" xr:uid="{C77DE6D2-065B-4B7E-A4E9-03BCF917A7A2}">
      <text>
        <t>[Threaded comment]
Your version of Excel allows you to read this threaded comment; however, any edits to it will get removed if the file is opened in a newer version of Excel. Learn more: https://go.microsoft.com/fwlink/?linkid=870924
Comment:
    13e mois N-1 : 114 eur deduit</t>
      </text>
    </comment>
    <comment ref="D15" authorId="1" shapeId="0" xr:uid="{76748226-C1E5-4CE9-B598-3FC3066CA408}">
      <text>
        <t>[Threaded comment]
Your version of Excel allows you to read this threaded comment; however, any edits to it will get removed if the file is opened in a newer version of Excel. Learn more: https://go.microsoft.com/fwlink/?linkid=870924
Comment:
    R&amp;R : 1859 eur deductible</t>
      </text>
    </comment>
    <comment ref="B18" authorId="2" shapeId="0" xr:uid="{2CB119E6-4E8B-453F-AF58-A9614A9AD424}">
      <text>
        <t>[Threaded comment]
Your version of Excel allows you to read this threaded comment; however, any edits to it will get removed if the file is opened in a newer version of Excel. Learn more: https://go.microsoft.com/fwlink/?linkid=870924
Comment:
    Bonus : 4.461 eur inclus</t>
      </text>
    </comment>
    <comment ref="F18" authorId="3" shapeId="0" xr:uid="{ABC8269F-3224-4AD7-A0E3-395084184B9A}">
      <text>
        <t>[Threaded comment]
Your version of Excel allows you to read this threaded comment; however, any edits to it will get removed if the file is opened in a newer version of Excel. Learn more: https://go.microsoft.com/fwlink/?linkid=870924
Comment:
    13e mois : 3.767 eur inclus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tc={913D44D8-DFDD-4272-B067-2727494CD869}</author>
  </authors>
  <commentList>
    <comment ref="AW5" authorId="0" shapeId="0" xr:uid="{913D44D8-DFDD-4272-B067-2727494CD869}">
      <text>
        <t>[Threaded comment]
Your version of Excel allows you to read this threaded comment; however, any edits to it will get removed if the file is opened in a newer version of Excel. Learn more: https://go.microsoft.com/fwlink/?linkid=870924
Comment:
    liquide</t>
      </text>
    </comment>
  </commentList>
</comments>
</file>

<file path=xl/sharedStrings.xml><?xml version="1.0" encoding="utf-8"?>
<sst xmlns="http://schemas.openxmlformats.org/spreadsheetml/2006/main" count="848" uniqueCount="328">
  <si>
    <t>Construction</t>
  </si>
  <si>
    <t>Main d'oeuvre</t>
  </si>
  <si>
    <t>Fourniture</t>
  </si>
  <si>
    <t>Jan</t>
  </si>
  <si>
    <t>Feb</t>
  </si>
  <si>
    <t>Mar</t>
  </si>
  <si>
    <t>Apr</t>
  </si>
  <si>
    <t>Mai</t>
  </si>
  <si>
    <t>Juil</t>
  </si>
  <si>
    <t>Aout</t>
  </si>
  <si>
    <t>Juin</t>
  </si>
  <si>
    <t>Sep</t>
  </si>
  <si>
    <t>Oct</t>
  </si>
  <si>
    <t>Dec</t>
  </si>
  <si>
    <t>Nov</t>
  </si>
  <si>
    <t>Revenus 2019</t>
  </si>
  <si>
    <t>Plomberie</t>
  </si>
  <si>
    <t>Fournitures</t>
  </si>
  <si>
    <t>Total</t>
  </si>
  <si>
    <t>F2M</t>
  </si>
  <si>
    <t>Peinture</t>
  </si>
  <si>
    <t>Corrige</t>
  </si>
  <si>
    <t>Cash</t>
  </si>
  <si>
    <t>Revenus</t>
  </si>
  <si>
    <t>Revenus locatifs 1</t>
  </si>
  <si>
    <t>Endettement</t>
  </si>
  <si>
    <t>Revenus locatifs 2</t>
  </si>
  <si>
    <t>Charges</t>
  </si>
  <si>
    <t>Compte courant</t>
  </si>
  <si>
    <t>Compte locatif</t>
  </si>
  <si>
    <t>DEMIRANDA</t>
  </si>
  <si>
    <t>Verriere LECLERC</t>
  </si>
  <si>
    <t>LEROY MERLIN</t>
  </si>
  <si>
    <t>Disponible</t>
  </si>
  <si>
    <t>Balance</t>
  </si>
  <si>
    <t>A venir</t>
  </si>
  <si>
    <t>WELDOM</t>
  </si>
  <si>
    <t>MANOMANO</t>
  </si>
  <si>
    <t>KLARSTEIN</t>
  </si>
  <si>
    <t xml:space="preserve">GROUPON </t>
  </si>
  <si>
    <t>Deco</t>
  </si>
  <si>
    <t>Financement</t>
  </si>
  <si>
    <t>Frais bqe</t>
  </si>
  <si>
    <t>Autre</t>
  </si>
  <si>
    <t>SKLUM</t>
  </si>
  <si>
    <t>Depenses</t>
  </si>
  <si>
    <t>Epargne</t>
  </si>
  <si>
    <t>Cash dispo</t>
  </si>
  <si>
    <t>Overpaymt</t>
  </si>
  <si>
    <t>Dispo bank</t>
  </si>
  <si>
    <t>Dispo cpte loc</t>
  </si>
  <si>
    <t>Avance frais de notaire</t>
  </si>
  <si>
    <t>EXIM AZUR</t>
  </si>
  <si>
    <t>P&amp;L</t>
  </si>
  <si>
    <t>F1</t>
  </si>
  <si>
    <t>F2</t>
  </si>
  <si>
    <t>Cuisine 1</t>
  </si>
  <si>
    <t xml:space="preserve">Colonne de douche </t>
  </si>
  <si>
    <t>Cabines de douche</t>
  </si>
  <si>
    <t>Poignee de porte</t>
  </si>
  <si>
    <t xml:space="preserve">Miroirs </t>
  </si>
  <si>
    <t>Barette pvc noire</t>
  </si>
  <si>
    <t>Loic</t>
  </si>
  <si>
    <t>Maman</t>
  </si>
  <si>
    <t>Facture 1</t>
  </si>
  <si>
    <t>Facture 2</t>
  </si>
  <si>
    <t>Seche serviette</t>
  </si>
  <si>
    <t xml:space="preserve">Cuisine 2 </t>
  </si>
  <si>
    <t xml:space="preserve">PU </t>
  </si>
  <si>
    <t>Qtité</t>
  </si>
  <si>
    <t>Mitigeur</t>
  </si>
  <si>
    <t>Solde facture Loic</t>
  </si>
  <si>
    <t>Ctrl</t>
  </si>
  <si>
    <t>Remb. Papa / LV / LL</t>
  </si>
  <si>
    <t>Divers</t>
  </si>
  <si>
    <t>MOB IN</t>
  </si>
  <si>
    <t>UBALDI</t>
  </si>
  <si>
    <t>Description</t>
  </si>
  <si>
    <t>Cost code</t>
  </si>
  <si>
    <t>Fournisseur</t>
  </si>
  <si>
    <t>D</t>
  </si>
  <si>
    <t>J</t>
  </si>
  <si>
    <t>F</t>
  </si>
  <si>
    <t>M</t>
  </si>
  <si>
    <t>A</t>
  </si>
  <si>
    <t>S</t>
  </si>
  <si>
    <t>O</t>
  </si>
  <si>
    <t>N</t>
  </si>
  <si>
    <t>Villa Riquet 1</t>
  </si>
  <si>
    <t>Villa Riquet 2</t>
  </si>
  <si>
    <t>Vte</t>
  </si>
  <si>
    <t>Nuit</t>
  </si>
  <si>
    <t>Mge</t>
  </si>
  <si>
    <t>Net</t>
  </si>
  <si>
    <t>Fox</t>
  </si>
  <si>
    <t>Debit</t>
  </si>
  <si>
    <t>Credit</t>
  </si>
  <si>
    <t>Divers frais papa</t>
  </si>
  <si>
    <t>Assurances</t>
  </si>
  <si>
    <t>Revenus 2020</t>
  </si>
  <si>
    <t>Charges deductibles</t>
  </si>
  <si>
    <t>Heures supp.</t>
  </si>
  <si>
    <t>Teletravail</t>
  </si>
  <si>
    <t>10%</t>
  </si>
  <si>
    <t>Paye</t>
  </si>
  <si>
    <t>R &amp; R</t>
  </si>
  <si>
    <t>Bnb</t>
  </si>
  <si>
    <t>Frais grand deplacement</t>
  </si>
  <si>
    <t>R&amp;R</t>
  </si>
  <si>
    <t>Traitement, salaires</t>
  </si>
  <si>
    <t>1GH</t>
  </si>
  <si>
    <t>1AG</t>
  </si>
  <si>
    <t>Salaires nets imposables</t>
  </si>
  <si>
    <t>BS</t>
  </si>
  <si>
    <t>Revenu brut global</t>
  </si>
  <si>
    <t>VV</t>
  </si>
  <si>
    <t>Accord de la copropriete</t>
  </si>
  <si>
    <t>Perms d'exploitation</t>
  </si>
  <si>
    <t>Licence petite restauration</t>
  </si>
  <si>
    <t>Formation sanitaire</t>
  </si>
  <si>
    <t>Creation SARL</t>
  </si>
  <si>
    <t>15 jours avant</t>
  </si>
  <si>
    <t>déclarer son ouverture au centre de formalités des entreprises (CFE) compétent</t>
  </si>
  <si>
    <t>immatriculation RCS</t>
  </si>
  <si>
    <t>demande en mairie</t>
  </si>
  <si>
    <t>alcool uniquement</t>
  </si>
  <si>
    <t>Declaration d'ouverture : le formulaire Cerfa n°11542</t>
  </si>
  <si>
    <t>Barbajuan</t>
  </si>
  <si>
    <t>Pichade</t>
  </si>
  <si>
    <t>Socca</t>
  </si>
  <si>
    <t>Panini</t>
  </si>
  <si>
    <t>Pan bagnat</t>
  </si>
  <si>
    <t>x</t>
  </si>
  <si>
    <t>Socca cebette</t>
  </si>
  <si>
    <t>Socca monta bicou</t>
  </si>
  <si>
    <t>Socca champignons</t>
  </si>
  <si>
    <t>Loyer</t>
  </si>
  <si>
    <t>Electricite</t>
  </si>
  <si>
    <t>Eau</t>
  </si>
  <si>
    <t>Mois</t>
  </si>
  <si>
    <t>Budget</t>
  </si>
  <si>
    <t>Ca</t>
  </si>
  <si>
    <t>Charges op</t>
  </si>
  <si>
    <t>Salaire</t>
  </si>
  <si>
    <t>Marge brute</t>
  </si>
  <si>
    <t>Resutat net</t>
  </si>
  <si>
    <t>Jour</t>
  </si>
  <si>
    <t>Mensualite</t>
  </si>
  <si>
    <t>Cash flow</t>
  </si>
  <si>
    <t>Differentiel</t>
  </si>
  <si>
    <t>%</t>
  </si>
  <si>
    <t>R corrige</t>
  </si>
  <si>
    <t>R cumul</t>
  </si>
  <si>
    <t>M cumul</t>
  </si>
  <si>
    <t>Type</t>
  </si>
  <si>
    <t>Notaire</t>
  </si>
  <si>
    <t>Taxes</t>
  </si>
  <si>
    <t>VR</t>
  </si>
  <si>
    <t>BPCE ASSURANCES</t>
  </si>
  <si>
    <t>DIRECTION GENERALE DES FINANCES</t>
  </si>
  <si>
    <t>VEOLIA EAU</t>
  </si>
  <si>
    <t>BOUYGUES TELECOM</t>
  </si>
  <si>
    <t>EDF</t>
  </si>
  <si>
    <t>FOX KEYS</t>
  </si>
  <si>
    <t>FILLY ALAIN</t>
  </si>
  <si>
    <t>BPCE ECH. PRET</t>
  </si>
  <si>
    <t>Telephone, internet</t>
  </si>
  <si>
    <t>Energie. Eau, electricite</t>
  </si>
  <si>
    <t>Interets d'emprunt</t>
  </si>
  <si>
    <t>Frais d'agence</t>
  </si>
  <si>
    <t>Impots</t>
  </si>
  <si>
    <t>NUNO RENOV.</t>
  </si>
  <si>
    <t>DE MIRANDA</t>
  </si>
  <si>
    <t>Travaux</t>
  </si>
  <si>
    <t>Bien immobilier</t>
  </si>
  <si>
    <t>TINARELLI-RIPOLL</t>
  </si>
  <si>
    <t>Date debut</t>
  </si>
  <si>
    <t>Ans</t>
  </si>
  <si>
    <t>Valeur initiale</t>
  </si>
  <si>
    <t>Nom</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</si>
  <si>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</si>
  <si>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</si>
  <si>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</si>
  <si>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</si>
  <si>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</si>
  <si>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</si>
  <si>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</si>
  <si>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</si>
  <si>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</si>
  <si>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</si>
  <si>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</si>
  <si>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</si>
  <si>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</si>
  <si>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</si>
  <si>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</si>
  <si>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</si>
  <si>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</si>
  <si>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</si>
  <si>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</si>
  <si>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</si>
  <si>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</si>
  <si>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</si>
  <si>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2033B-218</t>
  </si>
  <si>
    <t>2033B-242</t>
  </si>
  <si>
    <t>2033B-244</t>
  </si>
  <si>
    <t>2033B-294</t>
  </si>
  <si>
    <t>Charges d'interets</t>
  </si>
  <si>
    <t>Charges d'exploitation</t>
  </si>
  <si>
    <t>Code fiscal</t>
  </si>
  <si>
    <t>2033B</t>
  </si>
  <si>
    <t>Revenus foncier</t>
  </si>
  <si>
    <t>Amortissement</t>
  </si>
  <si>
    <t>Immobilisations</t>
  </si>
  <si>
    <t>2033C-432</t>
  </si>
  <si>
    <t>Valeur</t>
  </si>
  <si>
    <t>Case impot</t>
  </si>
  <si>
    <t>VNC</t>
  </si>
  <si>
    <t>Depre.</t>
  </si>
  <si>
    <t>Immobilisation brut - amortissement de l'annee N</t>
  </si>
  <si>
    <t>2033C-572 et 2033B-254</t>
  </si>
  <si>
    <t>Disponibilite</t>
  </si>
  <si>
    <t>Resultat comptable</t>
  </si>
  <si>
    <t>Actif</t>
  </si>
  <si>
    <t>Passif</t>
  </si>
  <si>
    <t>Immobilisation corporelle</t>
  </si>
  <si>
    <t>Banque</t>
  </si>
  <si>
    <t>Capital social</t>
  </si>
  <si>
    <t>Resultat de l'exercice</t>
  </si>
  <si>
    <t>Dette</t>
  </si>
  <si>
    <t>2033A-028</t>
  </si>
  <si>
    <t>2033A-156</t>
  </si>
  <si>
    <t>2033A-084</t>
  </si>
  <si>
    <t>Brut</t>
  </si>
  <si>
    <t>2033A-030</t>
  </si>
  <si>
    <t>Declaration/ formulaire</t>
  </si>
  <si>
    <t>2042 C-PRO</t>
  </si>
  <si>
    <t>2033 A/B/C</t>
  </si>
  <si>
    <t>Revenus professionnels non salaries</t>
  </si>
  <si>
    <t>dans Revenus des locations meublees non professionnelles</t>
  </si>
  <si>
    <r>
      <t>Regime BIC reel / Deficits /</t>
    </r>
    <r>
      <rPr>
        <b/>
        <sz val="9"/>
        <color theme="1"/>
        <rFont val="Arial"/>
        <family val="2"/>
      </rPr>
      <t xml:space="preserve"> 5NZ</t>
    </r>
  </si>
  <si>
    <t>7. BIC non professionnel / b- DEFICIT</t>
  </si>
  <si>
    <t>H    BIC NON PROFESSIONNELS</t>
  </si>
  <si>
    <t>Bilan</t>
  </si>
  <si>
    <t>2033A</t>
  </si>
  <si>
    <t>2033C</t>
  </si>
  <si>
    <t>2033B-310 et 2033B-314</t>
  </si>
  <si>
    <t>2033A-120</t>
  </si>
  <si>
    <t>2033A-136</t>
  </si>
  <si>
    <t>2033C-522 / 526</t>
  </si>
  <si>
    <t>Releve</t>
  </si>
  <si>
    <t>Num.</t>
  </si>
  <si>
    <t>Lison</t>
  </si>
  <si>
    <t>Maiwenn Lepense</t>
  </si>
  <si>
    <t>Laruelle</t>
  </si>
  <si>
    <t>D. Lambrinidis</t>
  </si>
  <si>
    <t>Eurasia</t>
  </si>
  <si>
    <t>Piron (3p)</t>
  </si>
  <si>
    <t>Semond Jennifer (3p)</t>
  </si>
  <si>
    <t>Tavan Veronique (4p)</t>
  </si>
  <si>
    <t>Yuliya</t>
  </si>
  <si>
    <t>Ageneau</t>
  </si>
  <si>
    <t>Chiffre d'affaires Brut</t>
  </si>
  <si>
    <t>Roberta</t>
  </si>
  <si>
    <t>Lesserteur</t>
  </si>
  <si>
    <t>Michela</t>
  </si>
  <si>
    <t>Nolwen Zanardi</t>
  </si>
  <si>
    <t>Gonzalo Alonso Dominguez</t>
  </si>
  <si>
    <t>Diego Martini</t>
  </si>
  <si>
    <t xml:space="preserve">Airbnb </t>
  </si>
  <si>
    <t>Janvier</t>
  </si>
  <si>
    <t xml:space="preserve">Revenu moyen </t>
  </si>
  <si>
    <t>Fevrier</t>
  </si>
  <si>
    <t>Mars</t>
  </si>
  <si>
    <t>Avril</t>
  </si>
  <si>
    <t>x 12</t>
  </si>
  <si>
    <t>Juillet</t>
  </si>
  <si>
    <t>Booking</t>
  </si>
  <si>
    <t>6 jan - 12 jan</t>
  </si>
  <si>
    <t>30 dec 5 jan</t>
  </si>
  <si>
    <t>27 jan 2 fev</t>
  </si>
  <si>
    <t>20 jan 26 jan</t>
  </si>
  <si>
    <t>13 jan 19 jan</t>
  </si>
  <si>
    <t>17 fev 23 fev</t>
  </si>
  <si>
    <t>10 - 16 fev</t>
  </si>
  <si>
    <t>3 - 9 fev</t>
  </si>
  <si>
    <t>10 - 16 mar</t>
  </si>
  <si>
    <t>3 - 9 mar</t>
  </si>
  <si>
    <t>24 fev - 2 mar</t>
  </si>
  <si>
    <t>24 - 30 mar</t>
  </si>
  <si>
    <t>17- 23 mar</t>
  </si>
  <si>
    <t>10 -16 mar</t>
  </si>
  <si>
    <t>7 - 13 avr</t>
  </si>
  <si>
    <t>31 mar 6 avr</t>
  </si>
  <si>
    <t>Reel</t>
  </si>
  <si>
    <t>Italie</t>
  </si>
  <si>
    <t>Revenus locatifs 3</t>
  </si>
  <si>
    <t>Prima casa pour l'acheteur, les conditions suivantes doivent être remplies en même temps :</t>
  </si>
  <si>
    <t>1. La propriété doit être résidentielle et non de luxe (par exemple catégorie A1).</t>
  </si>
  <si>
    <t>2. Ne pas être propriétaire, même par actions ou en communion de droit, sur l'ensemble du territoire national, de droits de propriété, d'usage, d'usufruit, d'habitation ou de nue-propriété, sur d'autres biens achetés, même par le conjoint, en profitant des concessions pour l'achat de la première maison;</t>
  </si>
  <si>
    <t>3. Il est nécessaire d'être résident ou de travailler dans la commune de la propriété, ou de transférer la résidence dans les 18 mois suivant l'achat ;</t>
  </si>
  <si>
    <t>4. Ne pas être propriétaire, exclusif ou en communion avec le conjoint, de droits de propriété, d'usufruit, d'usage et d'habitation, sur une autre maison du territoire de la Commune où se trouve le bien faisant l'objet de l'achat subventionné ;</t>
  </si>
  <si>
    <t>5. L'acheteur doit être une personne physique.</t>
  </si>
  <si>
    <t>Prima casa</t>
  </si>
  <si>
    <t>Seconda</t>
  </si>
  <si>
    <t>+</t>
  </si>
  <si>
    <t xml:space="preserve">Prix d'acquisition 2 appartements </t>
  </si>
  <si>
    <t>Notario Guidi</t>
  </si>
  <si>
    <t>Tassa di registro</t>
  </si>
  <si>
    <t>Revenu</t>
  </si>
  <si>
    <t>Imposto cedolare secca</t>
  </si>
  <si>
    <t>Irpef</t>
  </si>
  <si>
    <t>TASI</t>
  </si>
  <si>
    <t>n'existe plus</t>
  </si>
  <si>
    <t>TARI</t>
  </si>
  <si>
    <t>IMU</t>
  </si>
  <si>
    <t>si non resident oui</t>
  </si>
  <si>
    <t>IVA</t>
  </si>
  <si>
    <t>non</t>
  </si>
  <si>
    <t>Charges copro.</t>
  </si>
  <si>
    <t>Canone unico</t>
  </si>
  <si>
    <t>Canone rai</t>
  </si>
  <si>
    <t>inclus ds l'electricite</t>
  </si>
  <si>
    <t>LMNP</t>
  </si>
  <si>
    <t>Vos revenus</t>
  </si>
  <si>
    <t>12/31/2023</t>
  </si>
  <si>
    <t>2046</t>
  </si>
  <si>
    <t>2047</t>
  </si>
  <si>
    <t>2048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</si>
</sst>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4">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name val="Arial"/>
      <family val="2"/>
    </font>
    <font>
      <sz val="9"/>
      <name val="Arial"/>
      <family val="2"/>
    </font>
    <font>
      <sz val="9"/>
      <color theme="0"/>
      <name val="Arial"/>
      <family val="2"/>
    </font>
    <font>
      <b/>
      <sz val="9"/>
      <color theme="0"/>
      <name val="Arial"/>
      <family val="2"/>
    </font>
    <font>
      <sz val="8"/>
      <color theme="1"/>
      <name val="Arial"/>
      <family val="2"/>
    </font>
    <font>
      <b/>
      <sz val="8"/>
      <color theme="1"/>
      <name val="Arial"/>
      <family val="2"/>
    </font>
    <font>
      <i/>
      <sz val="8"/>
      <color theme="1"/>
      <name val="Arial"/>
      <family val="2"/>
    </font>
    <font>
      <sz val="11"/>
      <color theme="1"/>
      <name val="Arial"/>
      <family val="2"/>
    </font>
    <font>
      <b/>
      <sz val="11"/>
      <color theme="1"/>
      <name val="Arial"/>
      <family val="2"/>
    </font>
    <font>
      <sz val="10"/>
      <color theme="1"/>
      <name val="Arial"/>
      <family val="2"/>
    </font>
    <font>
      <b/>
      <sz val="10"/>
      <color theme="1"/>
      <name val="Arial"/>
      <family val="2"/>
    </font>
    <font>
      <b/>
      <sz val="8.5"/>
      <color theme="1"/>
      <name val="Arial"/>
      <family val="2"/>
    </font>
    <font>
      <b/>
      <sz val="9"/>
      <color rgb="FF0070C0"/>
      <name val="Arial"/>
      <family val="2"/>
    </font>
    <font>
      <b/>
      <sz val="10"/>
      <name val="Arial"/>
      <family val="2"/>
    </font>
    <font>
      <b/>
      <sz val="9"/>
      <color theme="8" tint="0.39997558519241921"/>
      <name val="Arial"/>
      <family val="2"/>
    </font>
    <font>
      <b/>
      <sz val="9"/>
      <color theme="9"/>
      <name val="Arial"/>
      <family val="2"/>
    </font>
    <font>
      <sz val="9"/>
      <color theme="9"/>
      <name val="Arial"/>
      <family val="2"/>
    </font>
    <font>
      <b/>
      <sz val="9"/>
      <color rgb="FF00B0F0"/>
      <name val="Arial"/>
      <family val="2"/>
    </font>
    <font>
      <b/>
      <sz val="9"/>
      <color rgb="FFC00000"/>
      <name val="Arial"/>
      <family val="2"/>
    </font>
    <font>
      <sz val="8"/>
      <color rgb="FFFF0000"/>
      <name val="Arial"/>
      <family val="2"/>
    </font>
    <font>
      <sz val="8"/>
      <name val="Calibri"/>
      <family val="2"/>
      <scheme val="minor"/>
    </font>
    <font>
      <sz val="9"/>
      <color rgb="FF002060"/>
      <name val="Arial"/>
      <family val="2"/>
    </font>
    <font>
      <b/>
      <sz val="9"/>
      <color rgb="FF002060"/>
      <name val="Arial"/>
      <family val="2"/>
    </font>
    <font>
      <sz val="10"/>
      <color theme="1"/>
      <name val="AIRBNB"/>
    </font>
    <font>
      <sz val="8"/>
      <color theme="1"/>
      <name val="AIRBNB"/>
    </font>
    <font>
      <b/>
      <sz val="8"/>
      <color theme="1"/>
      <name val="AIRBNB"/>
    </font>
    <font>
      <b/>
      <sz val="8"/>
      <color rgb="FF00B050"/>
      <name val="Arial"/>
      <family val="2"/>
    </font>
    <font>
      <sz val="9"/>
      <color rgb="FFC00000"/>
      <name val="Arial"/>
      <family val="2"/>
    </font>
    <font>
      <b/>
      <sz val="8"/>
      <color rgb="FFC00000"/>
      <name val="Arial"/>
      <family val="2"/>
    </font>
    <font>
      <b/>
      <i/>
      <sz val="8"/>
      <color theme="1"/>
      <name val="Arial"/>
      <family val="2"/>
    </font>
  </fonts>
  <fills count="1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70C0"/>
        <bgColor indexed="64"/>
      </patternFill>
    </fill>
    <fill>
      <patternFill patternType="solid">
        <fgColor rgb="FFFF9900"/>
        <bgColor indexed="64"/>
      </patternFill>
    </fill>
    <fill>
      <patternFill patternType="solid">
        <fgColor rgb="FF7030A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9"/>
        <bgColor indexed="64"/>
      </patternFill>
    </fill>
    <fill>
      <patternFill patternType="solid">
        <fgColor rgb="FFFEF4CE"/>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006666"/>
        <bgColor indexed="64"/>
      </patternFill>
    </fill>
    <fill>
      <patternFill patternType="solid">
        <fgColor rgb="FFCCFFCC"/>
        <bgColor indexed="64"/>
      </patternFill>
    </fill>
  </fills>
  <borders count="25">
    <border>
      <left/>
      <right/>
      <top/>
      <bottom/>
      <diagonal/>
    </border>
    <border>
      <left/>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1">
    <xf numFmtId="0" fontId="0" fillId="0" borderId="0" xfId="0"/>
    <xf numFmtId="0" fontId="2" fillId="0" borderId="0" xfId="0" applyFont="1"/>
    <xf numFmtId="0" fontId="3" fillId="0" borderId="0" xfId="0" applyFont="1"/>
    <xf numFmtId="164" fontId="2" fillId="0" borderId="0" xfId="1" applyNumberFormat="1" applyFont="1"/>
    <xf numFmtId="164" fontId="3" fillId="0" borderId="1" xfId="1" applyNumberFormat="1" applyFont="1" applyBorder="1"/>
    <xf numFmtId="0" fontId="2" fillId="0" borderId="0" xfId="0" applyFont="1" applyAlignment="1">
      <alignment horizontal="right"/>
    </xf>
    <xf numFmtId="164" fontId="2" fillId="0" borderId="0" xfId="1" applyNumberFormat="1" applyFont="1" applyAlignment="1">
      <alignment horizontal="right"/>
    </xf>
    <xf numFmtId="0" fontId="3" fillId="0" borderId="0" xfId="0" applyFont="1" applyAlignment="1">
      <alignment horizontal="center"/>
    </xf>
    <xf numFmtId="0" fontId="3" fillId="0" borderId="2" xfId="0" applyFont="1" applyBorder="1"/>
    <xf numFmtId="0" fontId="2" fillId="0" borderId="2" xfId="0" applyFont="1" applyBorder="1"/>
    <xf numFmtId="0" fontId="2" fillId="0" borderId="2" xfId="0" applyFont="1" applyBorder="1" applyAlignment="1">
      <alignment horizontal="right"/>
    </xf>
    <xf numFmtId="0" fontId="2" fillId="0" borderId="0" xfId="0" applyFont="1" applyAlignment="1">
      <alignment vertical="center"/>
    </xf>
    <xf numFmtId="164" fontId="2" fillId="0" borderId="0" xfId="0" applyNumberFormat="1" applyFont="1"/>
    <xf numFmtId="164" fontId="2" fillId="0" borderId="0" xfId="1" applyNumberFormat="1" applyFont="1" applyAlignment="1"/>
    <xf numFmtId="164" fontId="3" fillId="0" borderId="0" xfId="0" applyNumberFormat="1" applyFont="1" applyBorder="1"/>
    <xf numFmtId="43" fontId="2" fillId="0" borderId="0" xfId="0" applyNumberFormat="1" applyFont="1"/>
    <xf numFmtId="164" fontId="3" fillId="0" borderId="0" xfId="0" applyNumberFormat="1" applyFont="1"/>
    <xf numFmtId="0" fontId="3" fillId="0" borderId="0" xfId="0" applyFont="1" applyBorder="1"/>
    <xf numFmtId="0" fontId="2" fillId="0" borderId="4" xfId="0" applyFont="1" applyBorder="1"/>
    <xf numFmtId="0" fontId="2" fillId="0" borderId="0" xfId="0" applyFont="1" applyBorder="1"/>
    <xf numFmtId="164" fontId="2" fillId="0" borderId="0" xfId="0" applyNumberFormat="1" applyFont="1" applyBorder="1"/>
    <xf numFmtId="164" fontId="2" fillId="0" borderId="0" xfId="1" applyNumberFormat="1" applyFont="1" applyBorder="1"/>
    <xf numFmtId="164" fontId="2" fillId="0" borderId="2" xfId="0" applyNumberFormat="1" applyFont="1" applyBorder="1"/>
    <xf numFmtId="164" fontId="2" fillId="3" borderId="0" xfId="1" applyNumberFormat="1" applyFont="1" applyFill="1"/>
    <xf numFmtId="164" fontId="2" fillId="2" borderId="0" xfId="1" applyNumberFormat="1" applyFont="1" applyFill="1"/>
    <xf numFmtId="0" fontId="8" fillId="0" borderId="0" xfId="0" applyFont="1"/>
    <xf numFmtId="43" fontId="8" fillId="0" borderId="0" xfId="1" applyFont="1"/>
    <xf numFmtId="164" fontId="8" fillId="0" borderId="0" xfId="1" applyNumberFormat="1" applyFont="1"/>
    <xf numFmtId="43" fontId="10" fillId="0" borderId="0" xfId="1" applyFont="1"/>
    <xf numFmtId="0" fontId="9" fillId="0" borderId="0" xfId="0" applyFont="1"/>
    <xf numFmtId="0" fontId="11" fillId="0" borderId="0" xfId="0" applyFont="1"/>
    <xf numFmtId="164" fontId="2" fillId="0" borderId="4" xfId="1" applyNumberFormat="1" applyFont="1" applyBorder="1"/>
    <xf numFmtId="0" fontId="3" fillId="0" borderId="4" xfId="0" applyFont="1" applyBorder="1"/>
    <xf numFmtId="164" fontId="11" fillId="0" borderId="0" xfId="1" applyNumberFormat="1" applyFont="1"/>
    <xf numFmtId="164" fontId="2" fillId="7" borderId="0" xfId="1" applyNumberFormat="1" applyFont="1" applyFill="1"/>
    <xf numFmtId="164" fontId="2" fillId="0" borderId="0" xfId="1" applyNumberFormat="1" applyFont="1" applyFill="1"/>
    <xf numFmtId="164" fontId="2" fillId="8" borderId="0" xfId="1" applyNumberFormat="1" applyFont="1" applyFill="1"/>
    <xf numFmtId="164" fontId="2" fillId="9" borderId="0" xfId="1" applyNumberFormat="1" applyFont="1" applyFill="1"/>
    <xf numFmtId="164" fontId="2" fillId="0" borderId="4" xfId="1" applyNumberFormat="1" applyFont="1" applyFill="1" applyBorder="1"/>
    <xf numFmtId="164" fontId="3" fillId="0" borderId="0" xfId="1" applyNumberFormat="1" applyFont="1" applyBorder="1"/>
    <xf numFmtId="164" fontId="12" fillId="0" borderId="0" xfId="1" applyNumberFormat="1" applyFont="1"/>
    <xf numFmtId="0" fontId="2" fillId="0" borderId="0" xfId="0" applyFont="1" applyAlignment="1">
      <alignment horizontal="right" vertical="center"/>
    </xf>
    <xf numFmtId="164" fontId="3" fillId="0" borderId="0" xfId="1" applyNumberFormat="1" applyFont="1" applyAlignment="1">
      <alignment vertical="center"/>
    </xf>
    <xf numFmtId="43" fontId="2" fillId="0" borderId="0" xfId="1" applyFont="1"/>
    <xf numFmtId="0" fontId="3" fillId="0" borderId="3" xfId="0" applyFont="1" applyBorder="1"/>
    <xf numFmtId="0" fontId="3" fillId="0" borderId="0" xfId="0" applyFont="1" applyBorder="1" applyAlignment="1">
      <alignment horizontal="right" indent="1"/>
    </xf>
    <xf numFmtId="164" fontId="3" fillId="0" borderId="0" xfId="1" applyNumberFormat="1" applyFont="1"/>
    <xf numFmtId="0" fontId="13" fillId="0" borderId="0" xfId="0" applyFont="1"/>
    <xf numFmtId="43" fontId="2" fillId="0" borderId="0" xfId="1" applyFont="1" applyAlignment="1">
      <alignment horizontal="right"/>
    </xf>
    <xf numFmtId="0" fontId="14" fillId="0" borderId="0" xfId="0" applyFont="1"/>
    <xf numFmtId="164" fontId="2" fillId="0" borderId="0" xfId="1" applyNumberFormat="1" applyFont="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164" fontId="2" fillId="3" borderId="0" xfId="1" applyNumberFormat="1" applyFont="1" applyFill="1" applyAlignment="1">
      <alignment horizontal="center"/>
    </xf>
    <xf numFmtId="164" fontId="2" fillId="7" borderId="0" xfId="1" applyNumberFormat="1" applyFont="1" applyFill="1" applyAlignment="1">
      <alignment horizontal="center"/>
    </xf>
    <xf numFmtId="164" fontId="2" fillId="2" borderId="0" xfId="1" applyNumberFormat="1" applyFont="1" applyFill="1" applyAlignment="1">
      <alignment horizontal="center"/>
    </xf>
    <xf numFmtId="164" fontId="11" fillId="0" borderId="0" xfId="1" applyNumberFormat="1" applyFont="1" applyAlignment="1">
      <alignment horizontal="center"/>
    </xf>
    <xf numFmtId="0" fontId="2" fillId="0" borderId="0" xfId="0" applyFont="1" applyAlignment="1">
      <alignment horizontal="center"/>
    </xf>
    <xf numFmtId="0" fontId="14" fillId="0" borderId="5" xfId="0" applyFont="1" applyBorder="1"/>
    <xf numFmtId="43" fontId="13" fillId="0" borderId="0" xfId="1" applyNumberFormat="1" applyFont="1"/>
    <xf numFmtId="43" fontId="14" fillId="0" borderId="0" xfId="1" applyNumberFormat="1" applyFont="1"/>
    <xf numFmtId="43" fontId="14" fillId="0" borderId="5" xfId="1" applyNumberFormat="1" applyFont="1" applyBorder="1"/>
    <xf numFmtId="43" fontId="13" fillId="0" borderId="4" xfId="1" applyNumberFormat="1" applyFont="1" applyBorder="1"/>
    <xf numFmtId="43" fontId="14" fillId="0" borderId="4" xfId="1" applyNumberFormat="1" applyFont="1" applyBorder="1"/>
    <xf numFmtId="43" fontId="14" fillId="0" borderId="6" xfId="1" applyNumberFormat="1" applyFont="1" applyBorder="1"/>
    <xf numFmtId="43" fontId="13" fillId="0" borderId="7" xfId="1" applyNumberFormat="1" applyFont="1" applyBorder="1"/>
    <xf numFmtId="43" fontId="14" fillId="0" borderId="7" xfId="1" applyNumberFormat="1" applyFont="1" applyBorder="1"/>
    <xf numFmtId="43" fontId="14" fillId="0" borderId="8" xfId="1" applyNumberFormat="1" applyFont="1" applyBorder="1"/>
    <xf numFmtId="43" fontId="13" fillId="11" borderId="4" xfId="1" applyNumberFormat="1" applyFont="1" applyFill="1" applyBorder="1"/>
    <xf numFmtId="43" fontId="14" fillId="0" borderId="4" xfId="1" applyNumberFormat="1" applyFont="1" applyBorder="1" applyAlignment="1">
      <alignment horizontal="center"/>
    </xf>
    <xf numFmtId="43" fontId="14" fillId="0" borderId="7" xfId="1" applyNumberFormat="1" applyFont="1" applyBorder="1" applyAlignment="1">
      <alignment horizontal="center"/>
    </xf>
    <xf numFmtId="43" fontId="14" fillId="0" borderId="0" xfId="1" applyNumberFormat="1" applyFont="1" applyAlignment="1">
      <alignment horizontal="center"/>
    </xf>
    <xf numFmtId="43" fontId="3" fillId="0" borderId="0" xfId="1" applyNumberFormat="1" applyFont="1" applyAlignment="1">
      <alignment horizontal="center"/>
    </xf>
    <xf numFmtId="43" fontId="2" fillId="0" borderId="0" xfId="1" applyNumberFormat="1" applyFont="1" applyAlignment="1">
      <alignment horizontal="center"/>
    </xf>
    <xf numFmtId="43" fontId="2" fillId="0" borderId="0" xfId="1" applyNumberFormat="1" applyFont="1"/>
    <xf numFmtId="43" fontId="3" fillId="0" borderId="5" xfId="1" applyNumberFormat="1" applyFont="1" applyBorder="1"/>
    <xf numFmtId="43" fontId="3" fillId="0" borderId="0" xfId="1" applyNumberFormat="1" applyFont="1"/>
    <xf numFmtId="164" fontId="3" fillId="0" borderId="5" xfId="1" applyNumberFormat="1" applyFont="1" applyBorder="1" applyAlignment="1"/>
    <xf numFmtId="164" fontId="3" fillId="0" borderId="0" xfId="1" applyNumberFormat="1" applyFont="1" applyAlignment="1"/>
    <xf numFmtId="164" fontId="15" fillId="0" borderId="0" xfId="1" applyNumberFormat="1" applyFont="1"/>
    <xf numFmtId="164" fontId="2" fillId="0" borderId="2" xfId="1" applyNumberFormat="1" applyFont="1" applyBorder="1"/>
    <xf numFmtId="43" fontId="17" fillId="2" borderId="0" xfId="1" applyFont="1" applyFill="1" applyBorder="1"/>
    <xf numFmtId="0" fontId="2" fillId="0" borderId="10" xfId="0" applyFont="1" applyBorder="1" applyAlignment="1">
      <alignment vertical="center"/>
    </xf>
    <xf numFmtId="0" fontId="2" fillId="12" borderId="10" xfId="0" applyFont="1" applyFill="1" applyBorder="1" applyAlignment="1">
      <alignment vertical="center"/>
    </xf>
    <xf numFmtId="0" fontId="2" fillId="0" borderId="13" xfId="0" applyFont="1" applyBorder="1" applyAlignment="1">
      <alignment vertical="center"/>
    </xf>
    <xf numFmtId="164" fontId="2" fillId="0" borderId="0" xfId="1" applyNumberFormat="1" applyFont="1" applyAlignment="1">
      <alignment vertical="center"/>
    </xf>
    <xf numFmtId="164" fontId="9" fillId="0" borderId="0" xfId="1" applyNumberFormat="1" applyFont="1" applyAlignment="1">
      <alignment horizontal="center" vertical="center"/>
    </xf>
    <xf numFmtId="0" fontId="2" fillId="4" borderId="10" xfId="0" applyFont="1" applyFill="1" applyBorder="1" applyAlignment="1">
      <alignment vertical="center"/>
    </xf>
    <xf numFmtId="0" fontId="2" fillId="0" borderId="0" xfId="0" applyFont="1" applyFill="1"/>
    <xf numFmtId="0" fontId="7" fillId="6" borderId="0" xfId="0" applyFont="1" applyFill="1"/>
    <xf numFmtId="43" fontId="7" fillId="6" borderId="0" xfId="1" applyFont="1" applyFill="1"/>
    <xf numFmtId="0" fontId="2" fillId="0" borderId="0" xfId="0" quotePrefix="1" applyFont="1"/>
    <xf numFmtId="0" fontId="2" fillId="0" borderId="0" xfId="0" quotePrefix="1" applyFont="1" applyAlignment="1">
      <alignment horizontal="left"/>
    </xf>
    <xf numFmtId="164" fontId="2" fillId="0" borderId="0" xfId="1" applyNumberFormat="1" applyFont="1" applyFill="1" applyAlignment="1">
      <alignment horizontal="right"/>
    </xf>
    <xf numFmtId="0" fontId="18" fillId="0" borderId="0" xfId="0" applyFont="1" applyAlignment="1">
      <alignment horizontal="left" indent="1"/>
    </xf>
    <xf numFmtId="0" fontId="2" fillId="12" borderId="14" xfId="0" applyFont="1" applyFill="1" applyBorder="1" applyAlignment="1">
      <alignment vertical="center"/>
    </xf>
    <xf numFmtId="0" fontId="2" fillId="0" borderId="15" xfId="0" applyFont="1" applyBorder="1" applyAlignment="1">
      <alignment vertical="center"/>
    </xf>
    <xf numFmtId="0" fontId="2" fillId="12" borderId="15" xfId="0" applyFont="1" applyFill="1" applyBorder="1" applyAlignment="1">
      <alignment vertical="center"/>
    </xf>
    <xf numFmtId="0" fontId="10" fillId="0" borderId="0" xfId="0" applyFont="1" applyAlignment="1">
      <alignment horizontal="center"/>
    </xf>
    <xf numFmtId="164" fontId="3" fillId="0" borderId="0" xfId="1" applyNumberFormat="1" applyFont="1" applyFill="1"/>
    <xf numFmtId="164" fontId="19" fillId="0" borderId="0" xfId="1" applyNumberFormat="1" applyFont="1" applyAlignment="1">
      <alignment vertical="center"/>
    </xf>
    <xf numFmtId="0" fontId="20" fillId="0" borderId="0" xfId="0" applyFont="1" applyAlignment="1">
      <alignment vertical="center"/>
    </xf>
    <xf numFmtId="0" fontId="19" fillId="0" borderId="0" xfId="0" applyFont="1" applyAlignment="1">
      <alignment vertical="center"/>
    </xf>
    <xf numFmtId="0" fontId="3" fillId="0" borderId="0" xfId="0" applyFont="1" applyAlignment="1">
      <alignment vertical="center"/>
    </xf>
    <xf numFmtId="164" fontId="4" fillId="0" borderId="0" xfId="1" applyNumberFormat="1" applyFont="1" applyAlignment="1">
      <alignment vertical="center"/>
    </xf>
    <xf numFmtId="0" fontId="5" fillId="0" borderId="0" xfId="0" applyFont="1" applyAlignment="1">
      <alignment vertical="center"/>
    </xf>
    <xf numFmtId="164" fontId="2" fillId="0" borderId="0" xfId="1" applyNumberFormat="1" applyFont="1" applyAlignment="1">
      <alignment horizontal="center" vertical="center"/>
    </xf>
    <xf numFmtId="164" fontId="3" fillId="0" borderId="0" xfId="1" applyNumberFormat="1" applyFont="1" applyAlignment="1">
      <alignment horizontal="center" vertical="center"/>
    </xf>
    <xf numFmtId="0" fontId="21" fillId="0" borderId="0" xfId="0" applyFont="1" applyAlignment="1">
      <alignment horizontal="right" vertical="center"/>
    </xf>
    <xf numFmtId="0" fontId="21" fillId="0" borderId="0" xfId="0" applyFont="1" applyAlignment="1">
      <alignment vertical="center"/>
    </xf>
    <xf numFmtId="164" fontId="21" fillId="0" borderId="0" xfId="1" applyNumberFormat="1" applyFont="1" applyAlignment="1">
      <alignment horizontal="center" vertical="center"/>
    </xf>
    <xf numFmtId="164" fontId="2" fillId="0" borderId="0" xfId="0" applyNumberFormat="1" applyFont="1" applyAlignment="1">
      <alignment vertical="center"/>
    </xf>
    <xf numFmtId="164" fontId="22" fillId="0" borderId="0" xfId="1" applyNumberFormat="1" applyFont="1" applyAlignment="1">
      <alignment horizontal="center" vertical="center"/>
    </xf>
    <xf numFmtId="0" fontId="2" fillId="0" borderId="0" xfId="0" applyFont="1" applyAlignment="1">
      <alignment horizontal="center" vertical="center"/>
    </xf>
    <xf numFmtId="0" fontId="2" fillId="0" borderId="19" xfId="0" applyFont="1" applyBorder="1"/>
    <xf numFmtId="0" fontId="2" fillId="0" borderId="7" xfId="0" applyFont="1" applyBorder="1"/>
    <xf numFmtId="0" fontId="2" fillId="0" borderId="20" xfId="0" applyFont="1" applyBorder="1"/>
    <xf numFmtId="0" fontId="2" fillId="0" borderId="0" xfId="0" applyFont="1" applyAlignment="1">
      <alignment horizontal="left" indent="2"/>
    </xf>
    <xf numFmtId="0" fontId="3" fillId="10" borderId="0" xfId="0" applyFont="1" applyFill="1" applyAlignment="1">
      <alignment vertical="center"/>
    </xf>
    <xf numFmtId="0" fontId="16" fillId="0" borderId="0" xfId="0" applyFont="1" applyAlignment="1">
      <alignment vertical="center"/>
    </xf>
    <xf numFmtId="0" fontId="16" fillId="7" borderId="0" xfId="0" applyFont="1" applyFill="1" applyAlignment="1">
      <alignment vertical="center"/>
    </xf>
    <xf numFmtId="0" fontId="16" fillId="14" borderId="0" xfId="0" applyFont="1" applyFill="1" applyAlignment="1">
      <alignment vertical="center"/>
    </xf>
    <xf numFmtId="164" fontId="4" fillId="13" borderId="0" xfId="1" applyNumberFormat="1" applyFont="1" applyFill="1" applyAlignment="1">
      <alignment horizontal="center" vertical="center"/>
    </xf>
    <xf numFmtId="164" fontId="3" fillId="2" borderId="0" xfId="1" applyNumberFormat="1" applyFont="1" applyFill="1" applyAlignment="1">
      <alignment horizontal="center" vertical="center"/>
    </xf>
    <xf numFmtId="9" fontId="2" fillId="0" borderId="0" xfId="2" applyFont="1"/>
    <xf numFmtId="9" fontId="2" fillId="0" borderId="0" xfId="0" applyNumberFormat="1" applyFont="1" applyAlignment="1">
      <alignment horizontal="left"/>
    </xf>
    <xf numFmtId="0" fontId="2" fillId="2" borderId="15" xfId="0" applyFont="1" applyFill="1" applyBorder="1" applyAlignment="1">
      <alignment vertical="center"/>
    </xf>
    <xf numFmtId="0" fontId="2" fillId="2" borderId="10" xfId="0" applyFont="1" applyFill="1" applyBorder="1" applyAlignment="1">
      <alignment vertical="center"/>
    </xf>
    <xf numFmtId="0" fontId="2" fillId="0" borderId="11" xfId="0" applyFont="1" applyFill="1" applyBorder="1" applyAlignment="1">
      <alignment vertical="center"/>
    </xf>
    <xf numFmtId="164" fontId="2" fillId="0" borderId="0" xfId="1" applyNumberFormat="1" applyFont="1" applyBorder="1" applyAlignment="1">
      <alignment vertical="center"/>
    </xf>
    <xf numFmtId="0" fontId="2" fillId="0" borderId="18" xfId="0" applyFont="1" applyFill="1" applyBorder="1" applyAlignment="1">
      <alignment vertical="center"/>
    </xf>
    <xf numFmtId="0" fontId="2" fillId="0" borderId="16" xfId="0" applyFont="1" applyFill="1" applyBorder="1" applyAlignment="1">
      <alignment vertical="center"/>
    </xf>
    <xf numFmtId="0" fontId="2" fillId="0" borderId="12" xfId="0" applyFont="1" applyFill="1" applyBorder="1" applyAlignment="1">
      <alignment vertical="center"/>
    </xf>
    <xf numFmtId="0" fontId="6" fillId="0" borderId="12" xfId="0" applyFont="1" applyFill="1" applyBorder="1" applyAlignment="1">
      <alignment vertical="center"/>
    </xf>
    <xf numFmtId="9" fontId="8" fillId="0" borderId="0" xfId="0" applyNumberFormat="1" applyFont="1"/>
    <xf numFmtId="164" fontId="8" fillId="15" borderId="0" xfId="1" applyNumberFormat="1" applyFont="1" applyFill="1"/>
    <xf numFmtId="0" fontId="23" fillId="0" borderId="0" xfId="0" applyFont="1"/>
    <xf numFmtId="9" fontId="23" fillId="0" borderId="0" xfId="2" applyFont="1"/>
    <xf numFmtId="164" fontId="8" fillId="0" borderId="0" xfId="0" applyNumberFormat="1" applyFont="1"/>
    <xf numFmtId="0" fontId="7" fillId="0" borderId="0" xfId="0" applyFont="1" applyFill="1"/>
    <xf numFmtId="0" fontId="2" fillId="16" borderId="10" xfId="0" applyFont="1" applyFill="1" applyBorder="1" applyAlignment="1">
      <alignment horizontal="center" vertical="center"/>
    </xf>
    <xf numFmtId="43" fontId="2" fillId="0" borderId="0" xfId="1" applyNumberFormat="1" applyFont="1" applyAlignment="1">
      <alignment vertical="center"/>
    </xf>
    <xf numFmtId="43" fontId="25" fillId="0" borderId="0" xfId="1" applyFont="1" applyFill="1"/>
    <xf numFmtId="0" fontId="2" fillId="17" borderId="0" xfId="0" applyFont="1" applyFill="1"/>
    <xf numFmtId="14" fontId="8" fillId="0" borderId="0" xfId="0" applyNumberFormat="1" applyFont="1"/>
    <xf numFmtId="164" fontId="3" fillId="0" borderId="2" xfId="1" applyNumberFormat="1" applyFont="1" applyBorder="1"/>
    <xf numFmtId="0" fontId="8" fillId="0" borderId="0" xfId="0" applyNumberFormat="1" applyFont="1" applyAlignment="1">
      <alignment horizontal="center"/>
    </xf>
    <xf numFmtId="43" fontId="2" fillId="0" borderId="0" xfId="1" applyFont="1" applyAlignment="1">
      <alignment horizontal="left"/>
    </xf>
    <xf numFmtId="0" fontId="2" fillId="0" borderId="0" xfId="0" applyFont="1" applyAlignment="1">
      <alignment horizontal="left"/>
    </xf>
    <xf numFmtId="0" fontId="8" fillId="0" borderId="0" xfId="0" applyFont="1" applyAlignment="1">
      <alignment horizontal="center"/>
    </xf>
    <xf numFmtId="0" fontId="2" fillId="0" borderId="0" xfId="0" applyFont="1" applyAlignment="1">
      <alignment horizontal="left" indent="1"/>
    </xf>
    <xf numFmtId="43" fontId="3" fillId="0" borderId="0" xfId="1" applyFont="1"/>
    <xf numFmtId="0" fontId="2" fillId="0" borderId="22" xfId="0" applyFont="1" applyBorder="1"/>
    <xf numFmtId="0" fontId="2" fillId="0" borderId="23" xfId="0" applyFont="1" applyBorder="1"/>
    <xf numFmtId="0" fontId="2" fillId="0" borderId="22" xfId="0" applyFont="1" applyBorder="1" applyAlignment="1">
      <alignment horizontal="left"/>
    </xf>
    <xf numFmtId="0" fontId="2" fillId="0" borderId="23" xfId="0" applyFont="1" applyBorder="1" applyAlignment="1">
      <alignment horizontal="center"/>
    </xf>
    <xf numFmtId="0" fontId="2" fillId="0" borderId="24" xfId="0" applyFont="1" applyBorder="1"/>
    <xf numFmtId="43" fontId="2" fillId="0" borderId="24" xfId="1" applyFont="1" applyBorder="1"/>
    <xf numFmtId="164" fontId="3" fillId="0" borderId="21" xfId="1" applyNumberFormat="1" applyFont="1" applyBorder="1"/>
    <xf numFmtId="0" fontId="3" fillId="0" borderId="0" xfId="0" applyFont="1" applyAlignment="1"/>
    <xf numFmtId="0" fontId="3" fillId="0" borderId="0" xfId="0" applyFont="1" applyAlignment="1">
      <alignment horizontal="right"/>
    </xf>
    <xf numFmtId="0" fontId="2" fillId="0" borderId="0" xfId="0" applyFont="1" applyBorder="1" applyAlignment="1">
      <alignment horizontal="right"/>
    </xf>
    <xf numFmtId="0" fontId="26" fillId="0" borderId="0" xfId="0" applyFont="1"/>
    <xf numFmtId="0" fontId="21" fillId="2" borderId="0" xfId="0" applyFont="1" applyFill="1" applyAlignment="1">
      <alignment vertical="center"/>
    </xf>
    <xf numFmtId="43" fontId="2" fillId="0" borderId="0" xfId="0" applyNumberFormat="1" applyFont="1" applyAlignment="1">
      <alignment vertical="center"/>
    </xf>
    <xf numFmtId="0" fontId="2" fillId="0" borderId="0" xfId="0" applyFont="1" applyFill="1" applyAlignment="1">
      <alignment vertical="center"/>
    </xf>
    <xf numFmtId="164" fontId="2" fillId="0" borderId="0" xfId="1" applyNumberFormat="1" applyFont="1" applyFill="1" applyAlignment="1">
      <alignment vertical="center"/>
    </xf>
    <xf numFmtId="164" fontId="2" fillId="0" borderId="0" xfId="1" applyNumberFormat="1" applyFont="1" applyAlignment="1">
      <alignment horizontal="right" vertical="center"/>
    </xf>
    <xf numFmtId="164" fontId="2" fillId="0" borderId="0" xfId="1" applyNumberFormat="1" applyFont="1" applyFill="1" applyAlignment="1">
      <alignment horizontal="right" vertical="center"/>
    </xf>
    <xf numFmtId="49" fontId="3" fillId="0" borderId="0" xfId="1" applyNumberFormat="1" applyFont="1" applyAlignment="1">
      <alignment horizontal="left" vertical="center"/>
    </xf>
    <xf numFmtId="0" fontId="27" fillId="0" borderId="0" xfId="0" applyFont="1"/>
    <xf numFmtId="43" fontId="27" fillId="0" borderId="0" xfId="1" applyFont="1"/>
    <xf numFmtId="0" fontId="8" fillId="0" borderId="0" xfId="0" applyFont="1" applyAlignment="1">
      <alignment horizontal="right"/>
    </xf>
    <xf numFmtId="0" fontId="28" fillId="0" borderId="0" xfId="0" applyFont="1"/>
    <xf numFmtId="43" fontId="28" fillId="0" borderId="0" xfId="1" applyFont="1"/>
    <xf numFmtId="0" fontId="28" fillId="0" borderId="0" xfId="0" applyFont="1" applyAlignment="1">
      <alignment horizontal="right"/>
    </xf>
    <xf numFmtId="43" fontId="29" fillId="2" borderId="0" xfId="0" applyNumberFormat="1" applyFont="1" applyFill="1"/>
    <xf numFmtId="43" fontId="29" fillId="0" borderId="0" xfId="1" applyFont="1"/>
    <xf numFmtId="43" fontId="28" fillId="0" borderId="0" xfId="0" applyNumberFormat="1" applyFont="1"/>
    <xf numFmtId="0" fontId="30" fillId="0" borderId="0" xfId="0" applyFont="1"/>
    <xf numFmtId="164" fontId="31" fillId="0" borderId="0" xfId="1" applyNumberFormat="1" applyFont="1" applyAlignment="1">
      <alignment vertical="center"/>
    </xf>
    <xf numFmtId="164" fontId="32" fillId="0" borderId="0" xfId="1" applyNumberFormat="1" applyFont="1" applyAlignment="1">
      <alignment horizontal="center" vertical="center"/>
    </xf>
    <xf numFmtId="164" fontId="31" fillId="0" borderId="0" xfId="1" applyNumberFormat="1" applyFont="1" applyAlignment="1">
      <alignment horizontal="center" vertical="center"/>
    </xf>
    <xf numFmtId="164" fontId="10" fillId="0" borderId="0" xfId="0" applyNumberFormat="1" applyFont="1"/>
    <xf numFmtId="0" fontId="8" fillId="0" borderId="2" xfId="0" applyFont="1" applyBorder="1"/>
    <xf numFmtId="9" fontId="8" fillId="0" borderId="2" xfId="0" applyNumberFormat="1" applyFont="1" applyBorder="1"/>
    <xf numFmtId="164" fontId="8" fillId="0" borderId="2" xfId="1" applyNumberFormat="1" applyFont="1" applyBorder="1"/>
    <xf numFmtId="164" fontId="9" fillId="0" borderId="0" xfId="1" applyNumberFormat="1" applyFont="1"/>
    <xf numFmtId="164" fontId="33" fillId="0" borderId="0" xfId="0" applyNumberFormat="1" applyFont="1"/>
    <xf numFmtId="164" fontId="8" fillId="0" borderId="0" xfId="1" applyNumberFormat="1" applyFont="1" applyBorder="1"/>
    <xf numFmtId="164" fontId="8" fillId="2" borderId="0" xfId="1" applyNumberFormat="1" applyFont="1" applyFill="1"/>
    <xf numFmtId="164" fontId="8" fillId="0" borderId="0" xfId="1" applyNumberFormat="1" applyFont="1" applyFill="1"/>
    <xf numFmtId="9" fontId="8" fillId="0" borderId="0" xfId="2" applyFont="1"/>
    <xf numFmtId="0" fontId="0" fillId="0" borderId="2" xfId="0" applyBorder="1"/>
    <xf numFmtId="0" fontId="2" fillId="17" borderId="2" xfId="0" applyFont="1" applyFill="1" applyBorder="1"/>
    <xf numFmtId="43" fontId="25" fillId="0" borderId="2" xfId="1" applyFont="1" applyFill="1" applyBorder="1"/>
    <xf numFmtId="43" fontId="3" fillId="0" borderId="0" xfId="0" applyNumberFormat="1" applyFont="1"/>
    <xf numFmtId="43" fontId="3" fillId="0" borderId="1" xfId="1" applyFont="1" applyBorder="1"/>
    <xf numFmtId="0" fontId="2" fillId="18" borderId="0" xfId="0" applyFont="1" applyFill="1"/>
    <xf numFmtId="164" fontId="3" fillId="18" borderId="21" xfId="1" applyNumberFormat="1" applyFont="1" applyFill="1" applyBorder="1"/>
    <xf numFmtId="0" fontId="2" fillId="16" borderId="10" xfId="0" applyFont="1" applyFill="1" applyBorder="1" applyAlignment="1">
      <alignment vertical="center"/>
    </xf>
    <xf numFmtId="164" fontId="12" fillId="0" borderId="0" xfId="1" applyNumberFormat="1" applyFont="1" applyAlignment="1">
      <alignment horizontal="center"/>
    </xf>
    <xf numFmtId="0" fontId="3" fillId="0" borderId="0" xfId="0" applyFont="1" applyAlignment="1">
      <alignment horizontal="center"/>
    </xf>
    <xf numFmtId="0" fontId="3" fillId="0" borderId="2" xfId="0" applyFont="1" applyBorder="1" applyAlignment="1">
      <alignment horizontal="center"/>
    </xf>
    <xf numFmtId="164" fontId="2" fillId="0" borderId="0" xfId="0" applyNumberFormat="1" applyFont="1" applyAlignment="1">
      <alignment horizontal="center"/>
    </xf>
    <xf numFmtId="0" fontId="2" fillId="5" borderId="16"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7" xfId="0" applyFont="1" applyFill="1" applyBorder="1" applyAlignment="1">
      <alignment horizontal="center" vertical="center"/>
    </xf>
    <xf numFmtId="0" fontId="2" fillId="4" borderId="11" xfId="0" applyFont="1" applyFill="1" applyBorder="1" applyAlignment="1">
      <alignment horizontal="left" vertical="center"/>
    </xf>
    <xf numFmtId="0" fontId="2" fillId="4" borderId="13" xfId="0" applyFont="1" applyFill="1" applyBorder="1" applyAlignment="1">
      <alignment horizontal="left"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3" fillId="0" borderId="0" xfId="0" applyFont="1" applyAlignment="1">
      <alignment horizontal="center" vertical="center"/>
    </xf>
    <xf numFmtId="0" fontId="2" fillId="16" borderId="11" xfId="0" applyFont="1" applyFill="1" applyBorder="1" applyAlignment="1">
      <alignment horizontal="center" vertical="center"/>
    </xf>
    <xf numFmtId="0" fontId="2" fillId="16" borderId="12" xfId="0" applyFont="1" applyFill="1" applyBorder="1" applyAlignment="1">
      <alignment horizontal="center" vertical="center"/>
    </xf>
    <xf numFmtId="0" fontId="2" fillId="16" borderId="13"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164" fontId="14" fillId="0" borderId="0" xfId="1" applyNumberFormat="1" applyFont="1" applyBorder="1" applyAlignment="1">
      <alignment horizontal="center" vertical="center"/>
    </xf>
    <xf numFmtId="43" fontId="2" fillId="2" borderId="0" xfId="1" applyFont="1" applyFill="1"/>
    <xf numFmtId="164" fontId="5" fillId="2" borderId="21" xfId="1" applyNumberFormat="1" applyFont="1" applyFill="1" applyBorder="1" applyAlignment="1">
      <alignment horizontal="center"/>
    </xf>
    <xf numFmtId="0" fontId="2" fillId="2" borderId="0" xfId="0" applyFont="1" applyFill="1" applyAlignment="1">
      <alignment horizontal="center"/>
    </xf>
    <xf numFmtId="14" fontId="2" fillId="2" borderId="0" xfId="0" applyNumberFormat="1" applyFont="1" applyFill="1" applyAlignment="1">
      <alignment horizontal="left" indent="1"/>
    </xf>
  </cellXfs>
  <cellStyles count="3">
    <cellStyle name="Comma" xfId="1" builtinId="3"/>
    <cellStyle name="Normal" xfId="0" builtinId="0"/>
    <cellStyle name="Percent" xfId="2" builtinId="5"/>
  </cellStyles>
  <dxfs count="33">
    <dxf>
      <font>
        <b val="0"/>
        <i val="0"/>
        <strike val="0"/>
        <condense val="0"/>
        <extend val="0"/>
        <outline val="0"/>
        <shadow val="0"/>
        <u val="none"/>
        <vertAlign val="baseline"/>
        <sz val="9"/>
        <color theme="1"/>
        <name val="Arial"/>
        <family val="2"/>
        <scheme val="none"/>
      </font>
      <numFmt numFmtId="19" formatCode="m/d/yyyy"/>
      <fill>
        <patternFill patternType="solid">
          <fgColor indexed="64"/>
          <bgColor rgb="FFFFFF00"/>
        </patternFill>
      </fill>
      <alignment horizontal="left" vertical="bottom" textRotation="0" wrapText="0" relativeIndent="1" justifyLastLine="0" shrinkToFit="0" readingOrder="0"/>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FFFF00"/>
        </patternFill>
      </fill>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numFmt numFmtId="164" formatCode="_(* #,##0_);_(* \(#,##0\);_(* &quot;-&quot;??_);_(@_)"/>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dxf>
    <dxf>
      <font>
        <b val="0"/>
        <i val="0"/>
        <strike val="0"/>
        <condense val="0"/>
        <extend val="0"/>
        <outline val="0"/>
        <shadow val="0"/>
        <u val="none"/>
        <vertAlign val="baseline"/>
        <sz val="8"/>
        <color theme="1"/>
        <name val="Arial"/>
        <family val="2"/>
        <scheme val="none"/>
      </font>
      <numFmt numFmtId="0" formatCode="General"/>
    </dxf>
  </dxfs>
  <tableStyles count="0" defaultTableStyle="TableStyleMedium2" defaultPivotStyle="PivotStyleLight16"/>
  <colors>
    <mruColors>
      <color rgb="FFCCFFCC"/>
      <color rgb="FF006666"/>
      <color rgb="FF003366"/>
      <color rgb="FF003300"/>
      <color rgb="FFFF00FF"/>
      <color rgb="FFFF9900"/>
      <color rgb="FFFEF4CE"/>
      <color rgb="FFCC99FF"/>
      <color rgb="FFF45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495300</xdr:colOff>
      <xdr:row>9</xdr:row>
      <xdr:rowOff>38100</xdr:rowOff>
    </xdr:from>
    <xdr:to>
      <xdr:col>26</xdr:col>
      <xdr:colOff>371475</xdr:colOff>
      <xdr:row>24</xdr:row>
      <xdr:rowOff>57150</xdr:rowOff>
    </xdr:to>
    <xdr:sp macro="" textlink="">
      <xdr:nvSpPr>
        <xdr:cNvPr id="2" name="Rectangle 1">
          <a:extLst>
            <a:ext uri="{FF2B5EF4-FFF2-40B4-BE49-F238E27FC236}">
              <a16:creationId xmlns:a16="http://schemas.microsoft.com/office/drawing/2014/main" id="{F4CE6325-8094-45F1-9CCE-A94F72D6ECE7}"/>
            </a:ext>
          </a:extLst>
        </xdr:cNvPr>
        <xdr:cNvSpPr/>
      </xdr:nvSpPr>
      <xdr:spPr>
        <a:xfrm>
          <a:off x="11991975" y="1409700"/>
          <a:ext cx="5105400" cy="2305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38100</xdr:rowOff>
    </xdr:from>
    <xdr:to>
      <xdr:col>15</xdr:col>
      <xdr:colOff>488634</xdr:colOff>
      <xdr:row>42</xdr:row>
      <xdr:rowOff>76201</xdr:rowOff>
    </xdr:to>
    <xdr:pic>
      <xdr:nvPicPr>
        <xdr:cNvPr id="3" name="Picture 2">
          <a:extLst>
            <a:ext uri="{FF2B5EF4-FFF2-40B4-BE49-F238E27FC236}">
              <a16:creationId xmlns:a16="http://schemas.microsoft.com/office/drawing/2014/main" id="{C93FC0A8-A1B9-4902-9BF7-130489D458C6}"/>
            </a:ext>
          </a:extLst>
        </xdr:cNvPr>
        <xdr:cNvPicPr>
          <a:picLocks noChangeAspect="1"/>
        </xdr:cNvPicPr>
      </xdr:nvPicPr>
      <xdr:blipFill rotWithShape="1">
        <a:blip xmlns:r="http://schemas.openxmlformats.org/officeDocument/2006/relationships" r:embed="rId1"/>
        <a:srcRect l="55788" t="13427" r="19678" b="6655"/>
        <a:stretch/>
      </xdr:blipFill>
      <xdr:spPr>
        <a:xfrm>
          <a:off x="6248400" y="190500"/>
          <a:ext cx="3441384" cy="6305551"/>
        </a:xfrm>
        <a:prstGeom prst="rect">
          <a:avLst/>
        </a:prstGeom>
        <a:effectLst>
          <a:glow rad="101600">
            <a:schemeClr val="accent5">
              <a:lumMod val="40000"/>
              <a:lumOff val="60000"/>
              <a:alpha val="40000"/>
            </a:schemeClr>
          </a:glow>
        </a:effectLst>
      </xdr:spPr>
    </xdr:pic>
    <xdr:clientData/>
  </xdr:twoCellAnchor>
</xdr:wsDr>
</file>

<file path=xl/persons/person.xml><?xml version="1.0" encoding="utf-8"?>
<personList xmlns="http://schemas.microsoft.com/office/spreadsheetml/2018/threadedcomments" xmlns:x="http://schemas.openxmlformats.org/spreadsheetml/2006/main">
  <person displayName="Filly, Loic" id="{44C1573B-D4B3-4D66-8398-F8AED9070E90}" userId="S::loic.filly@sbmoffshore.com::dd966cf6-7892-4bd9-8af2-d4592cf670e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3AB9358-BE7E-40A4-A21E-FA1EC85B9018}" name="Table3" displayName="Table3" ref="A1:AE5" totalsRowShown="0" headerRowDxfId="32" dataDxfId="31" dataCellStyle="Comma">
  <autoFilter ref="A1:AE5" xr:uid="{0B0E808D-8807-4A57-88F7-3D82C0E82A87}"/>
  <tableColumns count="31">
    <tableColumn id="1" xr3:uid="{DDFA828C-01FD-49DC-B757-6FE85CC5C5EF}" name="Nom" dataDxfId="30"/>
    <tableColumn id="2" xr3:uid="{D19F45AE-472B-4937-A831-F558A707101A}" name="Type" dataDxfId="4"/>
    <tableColumn id="3" xr3:uid="{0BECCD0E-E8A1-4C10-B391-0E7FCF01338E}" name="Valeur initiale" dataDxfId="3" dataCellStyle="Comma"/>
    <tableColumn id="4" xr3:uid="{53FFD264-06D8-4A25-820A-306D5F21D24E}" name="Ans" dataDxfId="2"/>
    <tableColumn id="5" xr3:uid="{4A3EC344-1F64-43E8-8808-BE2663E38E1F}" name="Date debut" dataDxfId="0"/>
    <tableColumn id="6" xr3:uid="{6A9225A4-8529-4C04-AE38-973419E1F33E}" name="12/31/2023" dataDxfId="1" dataCellStyle="Comma"/>
    <tableColumn id="7" xr3:uid="{F6D973A9-6507-46B5-AF4C-FBA22ACBA8D9}" name="2024" dataDxfId="29" dataCellStyle="Comma"/>
    <tableColumn id="8" xr3:uid="{90CEBB14-31A5-4D44-B6BB-760957D83A96}" name="2025" dataDxfId="28" dataCellStyle="Comma"/>
    <tableColumn id="9" xr3:uid="{9166BE34-87C6-4DCF-B7AE-5BEB7BC005C6}" name="2026" dataDxfId="27" dataCellStyle="Comma"/>
    <tableColumn id="10" xr3:uid="{F5BBF918-BFE3-41B5-8F83-7BAE855970B6}" name="2027" dataDxfId="26" dataCellStyle="Comma"/>
    <tableColumn id="11" xr3:uid="{9E253033-91F2-4FD0-8447-97333B814545}" name="2028" dataDxfId="25" dataCellStyle="Comma"/>
    <tableColumn id="12" xr3:uid="{C38F5A84-FA37-4A07-B944-22138EE1BA57}" name="2029" dataDxfId="24" dataCellStyle="Comma"/>
    <tableColumn id="13" xr3:uid="{619212AA-D489-45A8-8E5F-DF3043C0C867}" name="2030" dataDxfId="23" dataCellStyle="Comma"/>
    <tableColumn id="14" xr3:uid="{0E275010-0ED1-40C0-8488-C3EFC9EEFA1D}" name="2031" dataDxfId="22" dataCellStyle="Comma"/>
    <tableColumn id="15" xr3:uid="{33F537A4-49F3-4F56-AD0A-532A73CBCC57}" name="2032" dataDxfId="21" dataCellStyle="Comma"/>
    <tableColumn id="16" xr3:uid="{9C06D7B2-9E1D-464D-9CB0-BFE17B05D782}" name="2033" dataDxfId="20" dataCellStyle="Comma"/>
    <tableColumn id="17" xr3:uid="{033B4020-D4A8-444B-9855-B87BDD7FA332}" name="2034" dataDxfId="19" dataCellStyle="Comma"/>
    <tableColumn id="18" xr3:uid="{286E5B91-B07E-4057-98A6-30BC9C007760}" name="2035" dataDxfId="18" dataCellStyle="Comma"/>
    <tableColumn id="19" xr3:uid="{08992341-031C-42F4-A720-88A2EAD8C8E4}" name="2036" dataDxfId="17" dataCellStyle="Comma"/>
    <tableColumn id="20" xr3:uid="{0421EEA4-401E-40CB-A6D9-28BF1BE79237}" name="2037" dataDxfId="16" dataCellStyle="Comma"/>
    <tableColumn id="21" xr3:uid="{1DF8E77F-35E6-44D6-A320-09DBDEAF7A28}" name="2038" dataDxfId="15" dataCellStyle="Comma"/>
    <tableColumn id="22" xr3:uid="{B4451AD1-8347-4F22-9A84-58FE438DEA65}" name="2039" dataDxfId="14" dataCellStyle="Comma"/>
    <tableColumn id="23" xr3:uid="{DA61E713-47DF-4BFA-B60F-C3D2FBBB88B7}" name="2040" dataDxfId="13" dataCellStyle="Comma"/>
    <tableColumn id="24" xr3:uid="{B8E08BC4-CD5B-4FE7-AEEF-452F79B2EA3B}" name="2041" dataDxfId="12" dataCellStyle="Comma"/>
    <tableColumn id="25" xr3:uid="{444473C4-6A14-43FD-B351-6369436B3CED}" name="2042" dataDxfId="11" dataCellStyle="Comma"/>
    <tableColumn id="26" xr3:uid="{EFB4E6DB-64E1-4C66-849D-AC1A6FFA94A8}" name="2043" dataDxfId="10" dataCellStyle="Comma"/>
    <tableColumn id="27" xr3:uid="{13F91FC2-3373-4956-8FEB-A7EF583A9B11}" name="2044" dataDxfId="9" dataCellStyle="Comma"/>
    <tableColumn id="28" xr3:uid="{09C57611-63AC-48DE-837C-60D376D059AA}" name="2045" dataDxfId="8" dataCellStyle="Comma"/>
    <tableColumn id="29" xr3:uid="{3B809EDA-C572-4A32-B67C-15E813E6D91D}" name="2046" dataDxfId="7" dataCellStyle="Comma"/>
    <tableColumn id="30" xr3:uid="{76F68895-E13E-4CAD-968C-545680E4DD93}" name="2047" dataDxfId="6" dataCellStyle="Comma"/>
    <tableColumn id="31" xr3:uid="{D3FA541C-D7E0-4D2C-B119-8853EFBE9B56}" name="2048" dataDxfId="5" dataCellStyle="Comma"/>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1-05-18T13:26:59.06" personId="{44C1573B-D4B3-4D66-8398-F8AED9070E90}" id="{C77DE6D2-065B-4B7E-A4E9-03BCF917A7A2}">
    <text>13e mois N-1 : 114 eur deduit</text>
  </threadedComment>
  <threadedComment ref="D15" dT="2021-05-18T13:25:39.35" personId="{44C1573B-D4B3-4D66-8398-F8AED9070E90}" id="{76748226-C1E5-4CE9-B598-3FC3066CA408}">
    <text>R&amp;R : 1859 eur deductible</text>
  </threadedComment>
  <threadedComment ref="B18" dT="2021-05-18T13:25:08.97" personId="{44C1573B-D4B3-4D66-8398-F8AED9070E90}" id="{2CB119E6-4E8B-453F-AF58-A9614A9AD424}">
    <text>Bonus : 4.461 eur inclus</text>
  </threadedComment>
  <threadedComment ref="F18" dT="2021-05-18T13:26:25.09" personId="{44C1573B-D4B3-4D66-8398-F8AED9070E90}" id="{ABC8269F-3224-4AD7-A0E3-395084184B9A}">
    <text>13e mois : 3.767 eur inclus</text>
  </threadedComment>
</ThreadedComments>
</file>

<file path=xl/threadedComments/threadedComment2.xml><?xml version="1.0" encoding="utf-8"?>
<ThreadedComments xmlns="http://schemas.microsoft.com/office/spreadsheetml/2018/threadedcomments" xmlns:x="http://schemas.openxmlformats.org/spreadsheetml/2006/main">
  <threadedComment ref="AW5" dT="2022-01-05T13:27:14.00" personId="{44C1573B-D4B3-4D66-8398-F8AED9070E90}" id="{913D44D8-DFDD-4272-B067-2727494CD869}">
    <text>liquide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8"/>
  <sheetViews>
    <sheetView showGridLines="0" zoomScale="90" zoomScaleNormal="90" workbookViewId="0">
      <selection activeCell="Q22" activeCellId="3" sqref="Q8:Q9 Q12:Q15 Q18 Q22"/>
    </sheetView>
  </sheetViews>
  <sheetFormatPr defaultColWidth="9.1796875" defaultRowHeight="12.75" customHeight="1"/>
  <cols>
    <col min="1" max="1" width="2.453125" style="1" customWidth="1"/>
    <col min="2" max="2" width="9.1796875" style="1"/>
    <col min="3" max="3" width="10.1796875" style="1" customWidth="1"/>
    <col min="4" max="4" width="2.453125" style="57" customWidth="1"/>
    <col min="5" max="8" width="9.1796875" style="1"/>
    <col min="9" max="9" width="2.453125" style="1" customWidth="1"/>
    <col min="10" max="10" width="9.453125" style="1" bestFit="1" customWidth="1"/>
    <col min="11" max="11" width="9.1796875" style="1"/>
    <col min="12" max="12" width="2.453125" style="1" customWidth="1"/>
    <col min="13" max="13" width="9.453125" style="1" bestFit="1" customWidth="1"/>
    <col min="14" max="15" width="9.1796875" style="1"/>
    <col min="16" max="16" width="2.453125" style="1" customWidth="1"/>
    <col min="17" max="17" width="9.1796875" style="1"/>
    <col min="18" max="18" width="10" style="1" bestFit="1" customWidth="1"/>
    <col min="19" max="19" width="2.453125" style="1" customWidth="1"/>
    <col min="20" max="20" width="9.1796875" style="1"/>
    <col min="21" max="21" width="9.7265625" style="1" bestFit="1" customWidth="1"/>
    <col min="22" max="16384" width="9.1796875" style="1"/>
  </cols>
  <sheetData>
    <row r="1" spans="1:20" s="2" customFormat="1" ht="12.75" customHeight="1">
      <c r="A1" s="8" t="s">
        <v>28</v>
      </c>
      <c r="B1" s="8"/>
      <c r="C1" s="8"/>
      <c r="D1" s="51"/>
      <c r="I1" s="8" t="s">
        <v>29</v>
      </c>
      <c r="J1" s="8"/>
      <c r="K1" s="8"/>
      <c r="L1" s="8"/>
      <c r="P1" s="8" t="s">
        <v>22</v>
      </c>
      <c r="Q1" s="8"/>
      <c r="R1" s="8"/>
      <c r="S1" s="8"/>
    </row>
    <row r="2" spans="1:20" s="3" customFormat="1" ht="12.75" customHeight="1">
      <c r="A2" s="17"/>
      <c r="B2" s="44"/>
      <c r="C2" s="17"/>
      <c r="D2" s="52"/>
      <c r="E2" s="2"/>
      <c r="F2" s="2"/>
      <c r="G2" s="2"/>
      <c r="H2" s="2"/>
      <c r="I2" s="17"/>
      <c r="J2" s="44"/>
      <c r="K2" s="45">
        <v>0</v>
      </c>
      <c r="L2" s="17"/>
      <c r="M2" s="2"/>
      <c r="Q2" s="32"/>
      <c r="R2" s="39">
        <v>22900</v>
      </c>
    </row>
    <row r="3" spans="1:20" s="3" customFormat="1" ht="12.75" customHeight="1">
      <c r="B3" s="31"/>
      <c r="C3" s="21">
        <v>2000</v>
      </c>
      <c r="D3" s="53"/>
      <c r="J3" s="31"/>
      <c r="K3" s="21">
        <v>4300</v>
      </c>
      <c r="L3" s="36"/>
      <c r="P3" s="23"/>
      <c r="Q3" s="31">
        <v>-2000</v>
      </c>
    </row>
    <row r="4" spans="1:20" s="3" customFormat="1" ht="12.75" customHeight="1">
      <c r="A4" s="24"/>
      <c r="B4" s="38">
        <v>-5000</v>
      </c>
      <c r="C4" s="35"/>
      <c r="D4" s="50"/>
      <c r="I4" s="34"/>
      <c r="J4" s="31">
        <v>-4200</v>
      </c>
      <c r="Q4" s="31"/>
      <c r="R4" s="3">
        <v>1000</v>
      </c>
      <c r="S4" s="37"/>
    </row>
    <row r="5" spans="1:20" s="3" customFormat="1" ht="12.75" customHeight="1">
      <c r="A5" s="35"/>
      <c r="B5" s="38">
        <v>-300</v>
      </c>
      <c r="C5" s="35"/>
      <c r="D5" s="50"/>
      <c r="E5" s="3" t="s">
        <v>51</v>
      </c>
      <c r="J5" s="31">
        <v>-21.08</v>
      </c>
      <c r="Q5" s="31"/>
      <c r="R5" s="3">
        <v>500</v>
      </c>
      <c r="S5" s="37"/>
    </row>
    <row r="6" spans="1:20" s="3" customFormat="1" ht="12.75" customHeight="1">
      <c r="A6" s="36"/>
      <c r="B6" s="38">
        <v>-4300</v>
      </c>
      <c r="C6" s="35"/>
      <c r="D6" s="50"/>
      <c r="J6" s="31">
        <f>J5</f>
        <v>-21.08</v>
      </c>
      <c r="Q6" s="31"/>
      <c r="R6" s="3">
        <v>750</v>
      </c>
      <c r="S6" s="37"/>
    </row>
    <row r="7" spans="1:20" s="3" customFormat="1" ht="12.75" customHeight="1">
      <c r="B7" s="38">
        <v>-1020</v>
      </c>
      <c r="C7" s="35"/>
      <c r="D7" s="50" t="s">
        <v>54</v>
      </c>
      <c r="E7" s="3" t="s">
        <v>52</v>
      </c>
      <c r="J7" s="31">
        <f>-8.13-1.56</f>
        <v>-9.6900000000000013</v>
      </c>
      <c r="Q7" s="31"/>
      <c r="R7" s="3">
        <v>750</v>
      </c>
      <c r="S7" s="37"/>
    </row>
    <row r="8" spans="1:20" s="3" customFormat="1" ht="12.75" customHeight="1">
      <c r="B8" s="38"/>
      <c r="C8" s="35">
        <v>4200</v>
      </c>
      <c r="D8" s="54"/>
      <c r="J8" s="31"/>
      <c r="K8" s="3">
        <v>17020</v>
      </c>
      <c r="L8" s="3" t="s">
        <v>54</v>
      </c>
      <c r="Q8" s="31">
        <v>-6000</v>
      </c>
      <c r="T8" s="3" t="s">
        <v>19</v>
      </c>
    </row>
    <row r="9" spans="1:20" s="3" customFormat="1" ht="12.75" customHeight="1">
      <c r="B9" s="38"/>
      <c r="C9" s="35">
        <f>5016.79+90</f>
        <v>5106.79</v>
      </c>
      <c r="D9" s="55"/>
      <c r="J9" s="31">
        <v>-165.38</v>
      </c>
      <c r="Q9" s="31">
        <v>-6000</v>
      </c>
      <c r="T9" s="3" t="s">
        <v>19</v>
      </c>
    </row>
    <row r="10" spans="1:20" s="3" customFormat="1" ht="12.75" customHeight="1">
      <c r="B10" s="31">
        <v>-219</v>
      </c>
      <c r="D10" s="50"/>
      <c r="E10" s="3" t="s">
        <v>31</v>
      </c>
      <c r="J10" s="31">
        <f>-8.46*2-6.89</f>
        <v>-23.810000000000002</v>
      </c>
      <c r="Q10" s="31">
        <v>-3500</v>
      </c>
      <c r="T10" s="3" t="s">
        <v>30</v>
      </c>
    </row>
    <row r="11" spans="1:20" s="3" customFormat="1" ht="12.75" customHeight="1">
      <c r="A11" s="37"/>
      <c r="B11" s="31">
        <v>-1000</v>
      </c>
      <c r="D11" s="50"/>
      <c r="I11" s="34"/>
      <c r="J11" s="31">
        <v>-11000</v>
      </c>
      <c r="Q11" s="31"/>
      <c r="R11" s="3">
        <v>1500</v>
      </c>
      <c r="S11" s="37"/>
    </row>
    <row r="12" spans="1:20" s="3" customFormat="1" ht="12.75" customHeight="1">
      <c r="A12" s="37"/>
      <c r="B12" s="31">
        <v>-500</v>
      </c>
      <c r="D12" s="50"/>
      <c r="J12" s="31">
        <v>-128.97999999999999</v>
      </c>
      <c r="Q12" s="31"/>
      <c r="R12" s="3">
        <v>1500</v>
      </c>
      <c r="S12" s="37"/>
    </row>
    <row r="13" spans="1:20" s="3" customFormat="1" ht="12.75" customHeight="1">
      <c r="A13" s="37"/>
      <c r="B13" s="31">
        <v>-750</v>
      </c>
      <c r="D13" s="50"/>
      <c r="J13" s="31">
        <v>-78.3</v>
      </c>
      <c r="Q13" s="31">
        <v>-5000</v>
      </c>
      <c r="T13" s="3" t="s">
        <v>19</v>
      </c>
    </row>
    <row r="14" spans="1:20" s="3" customFormat="1" ht="12.75" customHeight="1">
      <c r="A14" s="37"/>
      <c r="B14" s="31">
        <v>-750</v>
      </c>
      <c r="D14" s="50"/>
      <c r="J14" s="31">
        <f>-8.46-6.89-8.46</f>
        <v>-23.810000000000002</v>
      </c>
      <c r="Q14" s="31"/>
      <c r="R14" s="3">
        <v>1500</v>
      </c>
      <c r="S14" s="37"/>
    </row>
    <row r="15" spans="1:20" s="3" customFormat="1" ht="12.75" customHeight="1">
      <c r="A15" s="37"/>
      <c r="B15" s="31">
        <v>-1500</v>
      </c>
      <c r="D15" s="50"/>
      <c r="J15" s="31">
        <v>-67.69</v>
      </c>
      <c r="Q15" s="31">
        <v>-1500</v>
      </c>
      <c r="T15" s="3" t="s">
        <v>19</v>
      </c>
    </row>
    <row r="16" spans="1:20" s="3" customFormat="1" ht="12.75" customHeight="1">
      <c r="B16" s="31">
        <v>-14.64</v>
      </c>
      <c r="D16" s="50"/>
      <c r="E16" s="3" t="s">
        <v>32</v>
      </c>
      <c r="J16" s="31"/>
      <c r="K16" s="3">
        <v>22179.9</v>
      </c>
      <c r="L16" s="3" t="s">
        <v>55</v>
      </c>
      <c r="Q16" s="31"/>
      <c r="R16" s="3">
        <f>-B29</f>
        <v>1470</v>
      </c>
      <c r="S16" s="37"/>
    </row>
    <row r="17" spans="1:28" s="3" customFormat="1" ht="12.75" customHeight="1">
      <c r="B17" s="31">
        <v>-2528.6</v>
      </c>
      <c r="D17" s="50" t="s">
        <v>55</v>
      </c>
      <c r="E17" s="3" t="s">
        <v>32</v>
      </c>
      <c r="J17" s="31"/>
      <c r="Q17" s="31">
        <f>-80-90-90</f>
        <v>-260</v>
      </c>
      <c r="T17" s="3" t="s">
        <v>73</v>
      </c>
    </row>
    <row r="18" spans="1:28" s="3" customFormat="1" ht="12.75" customHeight="1">
      <c r="B18" s="31">
        <f>-43.96-12.21</f>
        <v>-56.17</v>
      </c>
      <c r="D18" s="50"/>
      <c r="E18" s="3" t="s">
        <v>36</v>
      </c>
      <c r="J18" s="31"/>
      <c r="Q18" s="31">
        <v>-1500</v>
      </c>
      <c r="T18" s="3" t="s">
        <v>19</v>
      </c>
    </row>
    <row r="19" spans="1:28" s="3" customFormat="1" ht="12.75" customHeight="1">
      <c r="B19" s="31">
        <v>-101.3</v>
      </c>
      <c r="D19" s="50"/>
      <c r="E19" s="3" t="s">
        <v>32</v>
      </c>
      <c r="J19" s="31"/>
      <c r="Q19" s="31"/>
    </row>
    <row r="20" spans="1:28" s="3" customFormat="1" ht="12.75" customHeight="1">
      <c r="B20" s="31">
        <v>-418</v>
      </c>
      <c r="D20" s="50" t="s">
        <v>55</v>
      </c>
      <c r="E20" s="3" t="s">
        <v>37</v>
      </c>
      <c r="J20" s="31"/>
      <c r="Q20" s="31"/>
      <c r="R20" s="3">
        <v>1500</v>
      </c>
    </row>
    <row r="21" spans="1:28" s="3" customFormat="1" ht="12.75" customHeight="1">
      <c r="B21" s="31">
        <v>-108.98</v>
      </c>
      <c r="D21" s="50"/>
      <c r="E21" s="3" t="s">
        <v>38</v>
      </c>
      <c r="J21" s="31"/>
      <c r="Q21" s="31"/>
      <c r="AA21" s="3" t="s">
        <v>46</v>
      </c>
    </row>
    <row r="22" spans="1:28" s="3" customFormat="1" ht="12.75" customHeight="1">
      <c r="B22" s="31">
        <v>-139.44999999999999</v>
      </c>
      <c r="D22" s="50"/>
      <c r="E22" s="3" t="s">
        <v>39</v>
      </c>
      <c r="J22" s="31"/>
      <c r="Q22" s="31">
        <v>-2000</v>
      </c>
      <c r="T22" s="35" t="s">
        <v>19</v>
      </c>
      <c r="U22" s="35"/>
      <c r="V22" s="35"/>
      <c r="AA22" s="3">
        <f>SUM(Q2:R45)</f>
        <v>0</v>
      </c>
      <c r="AB22" s="3" t="s">
        <v>47</v>
      </c>
    </row>
    <row r="23" spans="1:28" s="3" customFormat="1" ht="12.75" customHeight="1">
      <c r="B23" s="31">
        <v>-85</v>
      </c>
      <c r="D23" s="50"/>
      <c r="E23" s="3" t="s">
        <v>44</v>
      </c>
      <c r="J23" s="31"/>
      <c r="Q23" s="31">
        <v>-5610</v>
      </c>
      <c r="T23" s="24" t="s">
        <v>30</v>
      </c>
      <c r="U23" s="24"/>
      <c r="AA23" s="3" t="e">
        <f>-SUM(B3:S41)</f>
        <v>#REF!</v>
      </c>
      <c r="AB23" s="3" t="s">
        <v>48</v>
      </c>
    </row>
    <row r="24" spans="1:28" s="3" customFormat="1" ht="12.75" customHeight="1">
      <c r="A24" s="37"/>
      <c r="B24" s="31">
        <v>-1500</v>
      </c>
      <c r="D24" s="50"/>
      <c r="J24" s="31"/>
      <c r="Q24" s="31"/>
      <c r="AA24" s="3">
        <v>11500</v>
      </c>
      <c r="AB24" s="3" t="s">
        <v>49</v>
      </c>
    </row>
    <row r="25" spans="1:28" s="3" customFormat="1" ht="12.75" customHeight="1">
      <c r="B25" s="31"/>
      <c r="C25" s="3">
        <v>11000</v>
      </c>
      <c r="D25" s="54"/>
      <c r="J25" s="31"/>
      <c r="Q25" s="31"/>
      <c r="AA25" s="3">
        <v>5800</v>
      </c>
      <c r="AB25" s="3" t="s">
        <v>50</v>
      </c>
    </row>
    <row r="26" spans="1:28" s="3" customFormat="1" ht="12.75" customHeight="1">
      <c r="A26" s="37"/>
      <c r="B26" s="31">
        <v>-1500</v>
      </c>
      <c r="D26" s="50"/>
      <c r="J26" s="31"/>
      <c r="Q26" s="31"/>
      <c r="AA26" s="46" t="e">
        <f>SUM(AA22:AA25)</f>
        <v>#REF!</v>
      </c>
    </row>
    <row r="27" spans="1:28" s="3" customFormat="1" ht="12.75" customHeight="1">
      <c r="B27" s="31" t="e">
        <f>-#REF!</f>
        <v>#REF!</v>
      </c>
      <c r="D27" s="50" t="s">
        <v>55</v>
      </c>
      <c r="E27" s="3" t="s">
        <v>32</v>
      </c>
      <c r="J27" s="31"/>
      <c r="Q27" s="31"/>
    </row>
    <row r="28" spans="1:28" s="3" customFormat="1" ht="12.75" customHeight="1">
      <c r="B28" s="31" t="e">
        <f>-#REF!</f>
        <v>#REF!</v>
      </c>
      <c r="D28" s="50" t="s">
        <v>55</v>
      </c>
      <c r="E28" s="3" t="s">
        <v>32</v>
      </c>
      <c r="J28" s="31"/>
      <c r="Q28" s="31"/>
      <c r="V28" s="33"/>
    </row>
    <row r="29" spans="1:28" s="3" customFormat="1" ht="12.75" customHeight="1">
      <c r="A29" s="37"/>
      <c r="B29" s="31">
        <v>-1470</v>
      </c>
      <c r="D29" s="50"/>
      <c r="J29" s="31"/>
      <c r="Q29" s="31"/>
      <c r="V29" s="33"/>
    </row>
    <row r="30" spans="1:28" s="3" customFormat="1" ht="12.75" customHeight="1">
      <c r="A30" s="35"/>
      <c r="B30" s="31" t="e">
        <f>-#REF!</f>
        <v>#REF!</v>
      </c>
      <c r="D30" s="50"/>
      <c r="E30" s="3" t="s">
        <v>75</v>
      </c>
      <c r="J30" s="31"/>
      <c r="Q30" s="31"/>
      <c r="V30" s="33"/>
    </row>
    <row r="31" spans="1:28" s="3" customFormat="1" ht="12.75" customHeight="1">
      <c r="A31" s="35"/>
      <c r="B31" s="31" t="e">
        <f>-#REF!</f>
        <v>#REF!</v>
      </c>
      <c r="D31" s="50" t="s">
        <v>55</v>
      </c>
      <c r="E31" s="3" t="s">
        <v>37</v>
      </c>
      <c r="J31" s="31"/>
      <c r="Q31" s="31"/>
      <c r="V31" s="33"/>
    </row>
    <row r="32" spans="1:28" s="3" customFormat="1" ht="12.75" customHeight="1">
      <c r="A32" s="35"/>
      <c r="B32" s="31" t="e">
        <f>-#REF!</f>
        <v>#REF!</v>
      </c>
      <c r="D32" s="50"/>
      <c r="E32" s="3" t="s">
        <v>76</v>
      </c>
      <c r="J32" s="31"/>
      <c r="Q32" s="31"/>
      <c r="V32" s="33"/>
    </row>
    <row r="33" spans="1:25" s="3" customFormat="1" ht="12.75" customHeight="1">
      <c r="A33" s="35"/>
      <c r="B33" s="31" t="e">
        <f>-#REF!</f>
        <v>#REF!</v>
      </c>
      <c r="D33" s="50" t="s">
        <v>55</v>
      </c>
      <c r="E33" s="3" t="s">
        <v>32</v>
      </c>
      <c r="J33" s="31"/>
      <c r="Q33" s="31"/>
      <c r="V33" s="33"/>
    </row>
    <row r="34" spans="1:25" s="3" customFormat="1" ht="12.75" customHeight="1">
      <c r="A34" s="35"/>
      <c r="B34" s="31"/>
      <c r="D34" s="50"/>
      <c r="J34" s="31"/>
      <c r="Q34" s="31"/>
      <c r="V34" s="33"/>
      <c r="Y34" s="3">
        <f>25*50</f>
        <v>1250</v>
      </c>
    </row>
    <row r="35" spans="1:25" s="3" customFormat="1" ht="12.75" customHeight="1">
      <c r="A35" s="35"/>
      <c r="B35" s="31"/>
      <c r="D35" s="50"/>
      <c r="J35" s="31"/>
      <c r="Q35" s="31"/>
      <c r="V35" s="33"/>
    </row>
    <row r="36" spans="1:25" s="3" customFormat="1" ht="12.75" customHeight="1">
      <c r="A36" s="35"/>
      <c r="B36" s="31"/>
      <c r="D36" s="50"/>
      <c r="J36" s="31"/>
      <c r="Q36" s="31"/>
      <c r="V36" s="33"/>
    </row>
    <row r="37" spans="1:25" s="3" customFormat="1" ht="12.75" customHeight="1">
      <c r="A37" s="35"/>
      <c r="B37" s="31"/>
      <c r="D37" s="50"/>
      <c r="J37" s="31"/>
      <c r="Q37" s="31"/>
      <c r="V37" s="33"/>
    </row>
    <row r="38" spans="1:25" s="3" customFormat="1" ht="12.75" customHeight="1">
      <c r="A38" s="35"/>
      <c r="B38" s="31"/>
      <c r="D38" s="50"/>
      <c r="J38" s="31"/>
      <c r="Q38" s="31"/>
      <c r="V38" s="33"/>
    </row>
    <row r="39" spans="1:25" s="3" customFormat="1" ht="12.75" customHeight="1">
      <c r="A39" s="35"/>
      <c r="B39" s="31"/>
      <c r="D39" s="50"/>
      <c r="J39" s="31"/>
      <c r="Q39" s="31"/>
      <c r="V39" s="33"/>
    </row>
    <row r="40" spans="1:25" s="3" customFormat="1" ht="12.75" customHeight="1">
      <c r="A40" s="35"/>
      <c r="B40" s="31"/>
      <c r="D40" s="50"/>
      <c r="J40" s="31"/>
      <c r="Q40" s="31"/>
      <c r="V40" s="33"/>
    </row>
    <row r="41" spans="1:25" s="3" customFormat="1" ht="12.75" customHeight="1">
      <c r="B41" s="31"/>
      <c r="D41" s="50"/>
      <c r="J41" s="31"/>
      <c r="Q41" s="31"/>
      <c r="V41" s="33"/>
    </row>
    <row r="42" spans="1:25" s="3" customFormat="1" ht="12.75" customHeight="1">
      <c r="B42" s="31"/>
      <c r="D42" s="50"/>
      <c r="J42" s="31"/>
      <c r="Q42" s="31"/>
      <c r="V42" s="33"/>
    </row>
    <row r="43" spans="1:25" s="3" customFormat="1" ht="12.75" customHeight="1">
      <c r="B43" s="31"/>
      <c r="D43" s="50"/>
      <c r="J43" s="31"/>
      <c r="Q43" s="31"/>
      <c r="V43" s="33"/>
    </row>
    <row r="44" spans="1:25" s="3" customFormat="1" ht="12.75" customHeight="1">
      <c r="B44" s="31"/>
      <c r="D44" s="50"/>
      <c r="J44" s="31"/>
      <c r="Q44" s="31"/>
      <c r="V44" s="33"/>
    </row>
    <row r="45" spans="1:25" s="3" customFormat="1" ht="12.75" customHeight="1">
      <c r="B45" s="31"/>
      <c r="D45" s="50"/>
      <c r="J45" s="31"/>
      <c r="Q45" s="31"/>
      <c r="V45" s="33"/>
    </row>
    <row r="46" spans="1:25" s="33" customFormat="1" ht="12.75" customHeight="1">
      <c r="A46" s="3"/>
      <c r="B46" s="31"/>
      <c r="C46" s="3"/>
      <c r="D46" s="50"/>
      <c r="E46" s="3"/>
      <c r="F46" s="3"/>
      <c r="G46" s="3"/>
      <c r="H46" s="3"/>
      <c r="I46" s="3"/>
      <c r="J46" s="31"/>
      <c r="K46" s="3"/>
      <c r="L46" s="3"/>
      <c r="M46" s="3"/>
      <c r="N46" s="3"/>
      <c r="O46" s="3"/>
      <c r="P46" s="3"/>
      <c r="Q46" s="31"/>
      <c r="R46" s="3"/>
      <c r="S46" s="3"/>
      <c r="T46" s="3"/>
      <c r="U46" s="3"/>
      <c r="W46" s="3"/>
      <c r="X46" s="3"/>
    </row>
    <row r="47" spans="1:25" ht="12.75" customHeight="1">
      <c r="A47" s="3"/>
      <c r="B47" s="31"/>
      <c r="C47" s="3"/>
      <c r="D47" s="50"/>
      <c r="E47" s="3"/>
      <c r="F47" s="3"/>
      <c r="G47" s="3"/>
      <c r="H47" s="33"/>
      <c r="I47" s="3"/>
      <c r="J47" s="31"/>
      <c r="K47" s="3"/>
      <c r="L47" s="3"/>
      <c r="M47" s="3"/>
      <c r="N47" s="33"/>
      <c r="O47" s="33"/>
      <c r="P47" s="30"/>
      <c r="Q47" s="31"/>
      <c r="R47" s="3"/>
      <c r="S47" s="30"/>
      <c r="T47" s="30"/>
      <c r="U47" s="33"/>
      <c r="W47" s="33"/>
      <c r="X47" s="33"/>
    </row>
    <row r="48" spans="1:25" ht="12.75" customHeight="1">
      <c r="A48" s="33"/>
      <c r="B48" s="201" t="e">
        <f>SUM(B3:C47)</f>
        <v>#REF!</v>
      </c>
      <c r="C48" s="201"/>
      <c r="D48" s="56"/>
      <c r="E48" s="33"/>
      <c r="F48" s="33"/>
      <c r="G48" s="33"/>
      <c r="I48" s="33"/>
      <c r="J48" s="201">
        <f>SUM(J3:K47)</f>
        <v>27760.080000000002</v>
      </c>
      <c r="K48" s="201"/>
      <c r="L48" s="33"/>
      <c r="M48" s="33"/>
      <c r="Q48" s="201">
        <f>SUM(Q2:R47)</f>
        <v>0</v>
      </c>
      <c r="R48" s="201"/>
    </row>
    <row r="49" spans="1:21" ht="12.75" customHeight="1">
      <c r="A49" s="3"/>
      <c r="D49" s="50"/>
      <c r="E49" s="3"/>
      <c r="F49" s="3"/>
      <c r="G49" s="3"/>
    </row>
    <row r="52" spans="1:21" ht="12.75" customHeight="1">
      <c r="C52" s="5" t="s">
        <v>53</v>
      </c>
      <c r="J52" s="3" t="s">
        <v>34</v>
      </c>
      <c r="M52" s="3" t="s">
        <v>45</v>
      </c>
      <c r="O52" s="1" t="s">
        <v>41</v>
      </c>
      <c r="R52" s="3" t="s">
        <v>33</v>
      </c>
      <c r="U52" s="1" t="s">
        <v>35</v>
      </c>
    </row>
    <row r="53" spans="1:21" ht="12.75" customHeight="1">
      <c r="B53" s="41" t="s">
        <v>41</v>
      </c>
      <c r="C53" s="42">
        <f>SUM(K4:K47)</f>
        <v>39199.9</v>
      </c>
      <c r="J53" s="40" t="e">
        <f>SUM(B48:T48)</f>
        <v>#REF!</v>
      </c>
      <c r="M53" s="40" t="e">
        <f>SUM(B7,B10,B16:B23,Q8:Q43,B27:B28)</f>
        <v>#REF!</v>
      </c>
      <c r="O53" s="40">
        <f>SUM(K4:K47)</f>
        <v>39199.9</v>
      </c>
      <c r="R53" s="40">
        <f>SUM(Q2:R28)+J48</f>
        <v>27760.080000000002</v>
      </c>
      <c r="U53" s="79">
        <f>-12500+5000</f>
        <v>-7500</v>
      </c>
    </row>
    <row r="54" spans="1:21" ht="12.75" customHeight="1">
      <c r="B54" s="41" t="s">
        <v>40</v>
      </c>
      <c r="C54" s="42" t="e">
        <f>B18+B21+B22+B10+B23+B27+B28</f>
        <v>#REF!</v>
      </c>
      <c r="U54" s="79">
        <v>-8000</v>
      </c>
    </row>
    <row r="55" spans="1:21" ht="12.75" customHeight="1">
      <c r="B55" s="41" t="s">
        <v>1</v>
      </c>
      <c r="C55" s="42">
        <f>SUM(Q8:Q17)</f>
        <v>-22260</v>
      </c>
      <c r="U55" s="40">
        <f>SUM(U53:U54)</f>
        <v>-15500</v>
      </c>
    </row>
    <row r="56" spans="1:21" ht="12.75" customHeight="1">
      <c r="B56" s="41" t="s">
        <v>2</v>
      </c>
      <c r="C56" s="42">
        <f>SUM(B16:B17,B19,B20)</f>
        <v>-3062.54</v>
      </c>
    </row>
    <row r="57" spans="1:21" ht="12.75" customHeight="1">
      <c r="B57" s="41" t="s">
        <v>43</v>
      </c>
      <c r="C57" s="42">
        <f>B7+C9+B4+B5</f>
        <v>-1213.21</v>
      </c>
      <c r="J57" s="12" t="s">
        <v>72</v>
      </c>
    </row>
    <row r="58" spans="1:21" ht="12.75" customHeight="1">
      <c r="B58" s="41" t="s">
        <v>42</v>
      </c>
      <c r="C58" s="42">
        <f>SUM(J5:J10)</f>
        <v>-241.04</v>
      </c>
      <c r="J58" s="12" t="e">
        <f>SUM(C53:C58)-J53</f>
        <v>#REF!</v>
      </c>
    </row>
  </sheetData>
  <mergeCells count="3">
    <mergeCell ref="B48:C48"/>
    <mergeCell ref="J48:K48"/>
    <mergeCell ref="Q48:R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9F6C0-BF75-4174-9026-0C2306CE0B32}">
  <dimension ref="A1:W37"/>
  <sheetViews>
    <sheetView showGridLines="0" workbookViewId="0">
      <selection activeCell="N34" sqref="N34"/>
    </sheetView>
  </sheetViews>
  <sheetFormatPr defaultRowHeight="12" customHeight="1"/>
  <sheetData>
    <row r="1" spans="1:23" ht="12" customHeight="1">
      <c r="A1" s="25"/>
      <c r="B1" s="25"/>
      <c r="C1" s="25"/>
      <c r="D1" s="25"/>
      <c r="E1" s="25"/>
      <c r="F1" s="25"/>
      <c r="G1" s="25"/>
      <c r="H1" s="25"/>
      <c r="I1" s="25"/>
      <c r="J1" s="25"/>
      <c r="K1" s="25"/>
      <c r="L1" s="25"/>
      <c r="M1" s="25"/>
      <c r="N1" s="25"/>
      <c r="O1" s="25"/>
      <c r="P1" s="25"/>
      <c r="Q1" s="25"/>
      <c r="R1" s="25"/>
      <c r="S1" s="25"/>
      <c r="T1" s="25"/>
      <c r="U1" s="25"/>
      <c r="V1" s="25"/>
      <c r="W1" s="25"/>
    </row>
    <row r="2" spans="1:23" ht="12" customHeight="1">
      <c r="A2" s="25"/>
      <c r="B2" s="25"/>
      <c r="C2" s="25"/>
      <c r="D2" s="25"/>
      <c r="E2" s="25"/>
      <c r="F2" s="25"/>
      <c r="G2" s="25"/>
      <c r="H2" s="25"/>
      <c r="I2" s="25"/>
      <c r="J2" s="25"/>
      <c r="K2" s="25"/>
      <c r="L2" s="25"/>
      <c r="M2" s="25"/>
      <c r="N2" s="25"/>
      <c r="O2" s="25"/>
      <c r="P2" s="25"/>
      <c r="Q2" s="25"/>
      <c r="R2" s="25"/>
      <c r="S2" s="25"/>
      <c r="T2" s="25"/>
      <c r="U2" s="25"/>
      <c r="V2" s="25"/>
      <c r="W2" s="25"/>
    </row>
    <row r="3" spans="1:23" ht="12" customHeight="1">
      <c r="A3" s="25" t="s">
        <v>296</v>
      </c>
      <c r="B3" s="25"/>
      <c r="C3" s="25"/>
      <c r="D3" s="25"/>
      <c r="E3" s="25"/>
      <c r="F3" s="25"/>
      <c r="G3" s="25"/>
      <c r="H3" s="25"/>
      <c r="I3" s="25"/>
      <c r="J3" s="25"/>
      <c r="K3" s="25"/>
      <c r="L3" s="25"/>
      <c r="M3" s="25"/>
      <c r="N3" s="25"/>
      <c r="O3" s="25"/>
      <c r="P3" s="25"/>
      <c r="Q3" s="25"/>
      <c r="R3" s="25"/>
      <c r="S3" s="25"/>
      <c r="T3" s="25"/>
      <c r="U3" s="25"/>
      <c r="V3" s="25"/>
      <c r="W3" s="25"/>
    </row>
    <row r="4" spans="1:23" ht="12" customHeight="1">
      <c r="A4" s="25"/>
      <c r="B4" s="25"/>
      <c r="C4" s="25"/>
      <c r="D4" s="25"/>
      <c r="E4" s="25"/>
      <c r="F4" s="25"/>
      <c r="G4" s="25"/>
      <c r="H4" s="25"/>
      <c r="I4" s="25"/>
      <c r="J4" s="25"/>
      <c r="K4" s="25"/>
      <c r="L4" s="25"/>
      <c r="M4" s="25"/>
      <c r="N4" s="25"/>
      <c r="O4" s="25"/>
      <c r="P4" s="25"/>
      <c r="Q4" s="25"/>
      <c r="R4" s="25"/>
      <c r="S4" s="25"/>
      <c r="T4" s="25"/>
      <c r="U4" s="25"/>
      <c r="V4" s="25"/>
      <c r="W4" s="25"/>
    </row>
    <row r="5" spans="1:23" ht="12" customHeight="1">
      <c r="A5" s="25" t="s">
        <v>297</v>
      </c>
      <c r="B5" s="25"/>
      <c r="C5" s="25"/>
      <c r="D5" s="25"/>
      <c r="E5" s="25"/>
      <c r="F5" s="25"/>
      <c r="G5" s="25"/>
      <c r="H5" s="25"/>
      <c r="I5" s="25"/>
      <c r="J5" s="25"/>
      <c r="K5" s="25"/>
      <c r="L5" s="25"/>
      <c r="M5" s="25"/>
      <c r="N5" s="25"/>
      <c r="O5" s="25"/>
      <c r="P5" s="25"/>
      <c r="Q5" s="25"/>
      <c r="R5" s="25"/>
      <c r="S5" s="25"/>
      <c r="T5" s="25"/>
      <c r="U5" s="25"/>
      <c r="V5" s="25"/>
      <c r="W5" s="25"/>
    </row>
    <row r="6" spans="1:23" ht="12" customHeight="1">
      <c r="A6" s="25" t="s">
        <v>298</v>
      </c>
      <c r="B6" s="25"/>
      <c r="C6" s="25"/>
      <c r="D6" s="25"/>
      <c r="E6" s="25"/>
      <c r="F6" s="25"/>
      <c r="G6" s="25"/>
      <c r="H6" s="25"/>
      <c r="I6" s="25"/>
      <c r="J6" s="25"/>
      <c r="K6" s="25"/>
      <c r="L6" s="25"/>
      <c r="M6" s="25"/>
      <c r="N6" s="25"/>
      <c r="O6" s="25"/>
      <c r="P6" s="25"/>
      <c r="Q6" s="25"/>
      <c r="R6" s="25"/>
      <c r="S6" s="25"/>
      <c r="T6" s="25"/>
      <c r="U6" s="25"/>
      <c r="V6" s="25"/>
      <c r="W6" s="25"/>
    </row>
    <row r="7" spans="1:23" ht="12" customHeight="1">
      <c r="A7" s="136" t="s">
        <v>299</v>
      </c>
      <c r="B7" s="136"/>
      <c r="C7" s="136"/>
      <c r="D7" s="136"/>
      <c r="E7" s="136"/>
      <c r="F7" s="136"/>
      <c r="G7" s="136"/>
      <c r="H7" s="136"/>
      <c r="I7" s="136"/>
      <c r="J7" s="136"/>
      <c r="K7" s="136"/>
      <c r="L7" s="136"/>
      <c r="M7" s="136"/>
      <c r="N7" s="25"/>
      <c r="O7" s="25"/>
      <c r="P7" s="25"/>
      <c r="Q7" s="25"/>
      <c r="R7" s="25"/>
      <c r="S7" s="25"/>
      <c r="T7" s="25"/>
      <c r="U7" s="25"/>
      <c r="V7" s="25"/>
      <c r="W7" s="25"/>
    </row>
    <row r="8" spans="1:23" ht="12" customHeight="1">
      <c r="A8" s="25" t="s">
        <v>300</v>
      </c>
      <c r="B8" s="25"/>
      <c r="C8" s="25"/>
      <c r="D8" s="25"/>
      <c r="E8" s="25"/>
      <c r="F8" s="25"/>
      <c r="G8" s="25"/>
      <c r="H8" s="25"/>
      <c r="I8" s="25"/>
      <c r="J8" s="25"/>
      <c r="K8" s="25"/>
      <c r="L8" s="25"/>
      <c r="M8" s="25"/>
      <c r="N8" s="25"/>
      <c r="O8" s="25"/>
      <c r="P8" s="25"/>
      <c r="Q8" s="25"/>
      <c r="R8" s="25"/>
      <c r="S8" s="25"/>
      <c r="T8" s="25"/>
      <c r="U8" s="25"/>
      <c r="V8" s="25"/>
      <c r="W8" s="25"/>
    </row>
    <row r="9" spans="1:23" ht="12" customHeight="1">
      <c r="A9" s="25" t="s">
        <v>301</v>
      </c>
      <c r="B9" s="25"/>
      <c r="C9" s="25"/>
      <c r="D9" s="25"/>
      <c r="E9" s="25"/>
      <c r="F9" s="25"/>
      <c r="G9" s="25"/>
      <c r="H9" s="25"/>
      <c r="I9" s="25"/>
      <c r="J9" s="25"/>
      <c r="K9" s="25"/>
      <c r="L9" s="25"/>
      <c r="M9" s="25"/>
      <c r="N9" s="25"/>
      <c r="O9" s="25"/>
      <c r="P9" s="25"/>
      <c r="Q9" s="25"/>
      <c r="R9" s="25"/>
      <c r="S9" s="25"/>
      <c r="T9" s="25"/>
      <c r="U9" s="25"/>
      <c r="V9" s="25"/>
      <c r="W9" s="25"/>
    </row>
    <row r="10" spans="1:23" ht="12" customHeight="1">
      <c r="A10" s="25"/>
      <c r="B10" s="25"/>
      <c r="C10" s="25"/>
      <c r="D10" s="25"/>
      <c r="E10" s="25"/>
      <c r="F10" s="25"/>
      <c r="G10" s="25"/>
      <c r="H10" s="25"/>
      <c r="I10" s="25"/>
      <c r="J10" s="25"/>
      <c r="K10" s="25"/>
      <c r="L10" s="25"/>
      <c r="M10" s="25"/>
      <c r="N10" s="25"/>
      <c r="O10" s="25"/>
      <c r="P10" s="25"/>
      <c r="Q10" s="25"/>
      <c r="R10" s="25"/>
      <c r="S10" s="25"/>
      <c r="T10" s="25"/>
      <c r="U10" s="25"/>
      <c r="V10" s="25"/>
      <c r="W10" s="25"/>
    </row>
    <row r="11" spans="1:23" ht="12" customHeight="1">
      <c r="A11" s="25"/>
      <c r="B11" s="25"/>
      <c r="C11" s="25"/>
      <c r="D11" s="25"/>
      <c r="E11" s="25"/>
      <c r="F11" s="25"/>
      <c r="G11" s="25"/>
      <c r="H11" s="25"/>
      <c r="I11" s="25"/>
      <c r="J11" s="25"/>
      <c r="K11" s="25"/>
      <c r="L11" s="25"/>
      <c r="M11" s="25"/>
      <c r="N11" s="25"/>
      <c r="O11" s="25"/>
      <c r="P11" s="25"/>
      <c r="Q11" s="25"/>
      <c r="R11" s="25"/>
      <c r="S11" s="25"/>
      <c r="T11" s="25"/>
      <c r="U11" s="25"/>
      <c r="V11" s="25"/>
      <c r="W11" s="25"/>
    </row>
    <row r="12" spans="1:23" ht="12" customHeight="1">
      <c r="A12" s="25"/>
      <c r="B12" s="25"/>
      <c r="C12" s="25"/>
      <c r="D12" s="25"/>
      <c r="E12" s="25"/>
      <c r="F12" s="25"/>
      <c r="G12" s="25"/>
      <c r="H12" s="25"/>
      <c r="I12" s="25"/>
      <c r="J12" s="25"/>
      <c r="K12" s="25"/>
      <c r="L12" s="25"/>
      <c r="M12" s="25"/>
      <c r="N12" s="25"/>
      <c r="O12" s="25"/>
      <c r="P12" s="25"/>
      <c r="Q12" s="25"/>
      <c r="R12" s="25"/>
      <c r="S12" s="25"/>
      <c r="T12" s="25"/>
      <c r="U12" s="25"/>
      <c r="V12" s="25"/>
      <c r="W12" s="25"/>
    </row>
    <row r="13" spans="1:23" ht="12" customHeight="1">
      <c r="A13" s="25"/>
      <c r="B13" s="25"/>
      <c r="C13" s="25"/>
      <c r="D13" s="25"/>
      <c r="E13" s="25"/>
      <c r="F13" s="25"/>
      <c r="G13" s="25"/>
      <c r="H13" s="25"/>
      <c r="I13" s="25"/>
      <c r="J13" s="25"/>
      <c r="K13" s="25"/>
      <c r="L13" s="25"/>
      <c r="M13" s="25"/>
      <c r="N13" s="25"/>
      <c r="O13" s="25"/>
      <c r="P13" s="25"/>
      <c r="Q13" s="25"/>
      <c r="R13" s="25"/>
      <c r="S13" s="25"/>
      <c r="T13" s="25"/>
      <c r="U13" s="25"/>
      <c r="V13" s="25"/>
      <c r="W13" s="25"/>
    </row>
    <row r="14" spans="1:23" ht="12" customHeight="1">
      <c r="A14" s="25"/>
      <c r="B14" s="25"/>
      <c r="C14" s="25"/>
      <c r="D14" s="149" t="s">
        <v>302</v>
      </c>
      <c r="E14" s="149" t="s">
        <v>303</v>
      </c>
      <c r="F14" s="25"/>
      <c r="G14" s="25"/>
      <c r="H14" s="25"/>
      <c r="I14" s="25"/>
      <c r="J14" s="25"/>
      <c r="K14" s="25"/>
      <c r="L14" s="25"/>
      <c r="M14" s="25"/>
      <c r="N14" s="25"/>
      <c r="O14" s="25"/>
      <c r="P14" s="25"/>
      <c r="Q14" s="25"/>
      <c r="R14" s="25"/>
      <c r="S14" s="25"/>
      <c r="T14" s="25"/>
      <c r="U14" s="25"/>
      <c r="V14" s="25"/>
      <c r="W14" s="25"/>
    </row>
    <row r="15" spans="1:23" ht="12" customHeight="1">
      <c r="A15" s="25" t="s">
        <v>304</v>
      </c>
      <c r="B15" s="25"/>
      <c r="C15" s="25"/>
      <c r="D15" s="25"/>
      <c r="E15" s="25"/>
      <c r="F15" s="25"/>
      <c r="G15" s="25"/>
      <c r="H15" s="25"/>
      <c r="I15" s="25"/>
      <c r="J15" s="25"/>
      <c r="K15" s="25"/>
      <c r="L15" s="25"/>
      <c r="M15" s="25"/>
      <c r="N15" s="25"/>
      <c r="O15" s="25"/>
      <c r="P15" s="25"/>
      <c r="Q15" s="25"/>
      <c r="R15" s="25"/>
      <c r="S15" s="25"/>
      <c r="T15" s="25"/>
      <c r="U15" s="25"/>
      <c r="V15" s="25"/>
      <c r="W15" s="25"/>
    </row>
    <row r="16" spans="1:23" ht="12" customHeight="1">
      <c r="A16" s="25" t="s">
        <v>305</v>
      </c>
      <c r="B16" s="25"/>
      <c r="C16" s="25"/>
      <c r="D16" s="27">
        <v>260000</v>
      </c>
      <c r="E16" s="27">
        <v>260000</v>
      </c>
      <c r="F16" s="183">
        <f>E16-D16</f>
        <v>0</v>
      </c>
      <c r="G16" s="25"/>
      <c r="H16" s="25"/>
      <c r="I16" s="25"/>
      <c r="J16" s="25"/>
      <c r="K16" s="25"/>
      <c r="L16" s="25"/>
      <c r="M16" s="25"/>
      <c r="N16" s="25"/>
      <c r="O16" s="25"/>
      <c r="P16" s="25"/>
      <c r="Q16" s="25"/>
      <c r="R16" s="25"/>
      <c r="S16" s="25"/>
      <c r="T16" s="25"/>
      <c r="U16" s="25"/>
      <c r="V16" s="25"/>
      <c r="W16" s="25"/>
    </row>
    <row r="17" spans="1:23" ht="12" customHeight="1">
      <c r="A17" s="25" t="s">
        <v>306</v>
      </c>
      <c r="B17" s="25"/>
      <c r="C17" s="134">
        <v>0.02</v>
      </c>
      <c r="D17" s="27">
        <f>240000*C17</f>
        <v>4800</v>
      </c>
      <c r="E17" s="27">
        <f>240000*C17</f>
        <v>4800</v>
      </c>
      <c r="F17" s="183">
        <f>E17-D17</f>
        <v>0</v>
      </c>
      <c r="G17" s="25"/>
      <c r="H17" s="25"/>
      <c r="I17" s="25"/>
      <c r="J17" s="25"/>
      <c r="K17" s="25"/>
      <c r="L17" s="25"/>
      <c r="M17" s="25"/>
      <c r="N17" s="25"/>
      <c r="O17" s="25"/>
      <c r="P17" s="25"/>
      <c r="Q17" s="25"/>
      <c r="R17" s="25"/>
      <c r="S17" s="25"/>
      <c r="T17" s="25"/>
      <c r="U17" s="25"/>
      <c r="V17" s="25"/>
      <c r="W17" s="25"/>
    </row>
    <row r="18" spans="1:23" ht="12" customHeight="1">
      <c r="A18" s="184" t="s">
        <v>307</v>
      </c>
      <c r="B18" s="184"/>
      <c r="C18" s="185">
        <v>0.09</v>
      </c>
      <c r="D18" s="186">
        <f>240000*C17</f>
        <v>4800</v>
      </c>
      <c r="E18" s="186">
        <v>6700</v>
      </c>
      <c r="F18" s="183">
        <f>E18-D18</f>
        <v>1900</v>
      </c>
      <c r="G18" s="25"/>
      <c r="H18" s="25"/>
      <c r="I18" s="25"/>
      <c r="J18" s="25"/>
      <c r="K18" s="27"/>
      <c r="L18" s="25"/>
      <c r="M18" s="25"/>
      <c r="N18" s="25"/>
      <c r="O18" s="25"/>
      <c r="P18" s="25"/>
      <c r="Q18" s="25"/>
      <c r="R18" s="25"/>
      <c r="S18" s="25"/>
      <c r="T18" s="25"/>
      <c r="U18" s="25"/>
      <c r="V18" s="25"/>
      <c r="W18" s="25"/>
    </row>
    <row r="19" spans="1:23" ht="12" customHeight="1">
      <c r="A19" s="25"/>
      <c r="B19" s="25"/>
      <c r="C19" s="25"/>
      <c r="D19" s="187">
        <f>SUM(D16:D18)</f>
        <v>269600</v>
      </c>
      <c r="E19" s="187">
        <f>SUM(E16:E18)</f>
        <v>271500</v>
      </c>
      <c r="F19" s="188">
        <f>E19-D19</f>
        <v>1900</v>
      </c>
      <c r="G19" s="25"/>
      <c r="H19" s="25"/>
      <c r="I19" s="25"/>
      <c r="J19" s="27">
        <v>130000</v>
      </c>
      <c r="K19" s="27">
        <v>95000</v>
      </c>
      <c r="L19" s="25"/>
      <c r="M19" s="25"/>
      <c r="N19" s="25"/>
      <c r="O19" s="25"/>
      <c r="P19" s="25"/>
      <c r="Q19" s="25"/>
      <c r="R19" s="25"/>
      <c r="S19" s="25"/>
      <c r="T19" s="25"/>
      <c r="U19" s="25"/>
      <c r="V19" s="25"/>
      <c r="W19" s="25"/>
    </row>
    <row r="20" spans="1:23" ht="12" customHeight="1">
      <c r="A20" s="25"/>
      <c r="B20" s="25"/>
      <c r="C20" s="25"/>
      <c r="D20" s="27"/>
      <c r="E20" s="25"/>
      <c r="F20" s="25"/>
      <c r="G20" s="25"/>
      <c r="H20" s="25"/>
      <c r="I20" s="25"/>
      <c r="J20" s="25"/>
      <c r="K20" s="27">
        <f>E19-J19-K19</f>
        <v>46500</v>
      </c>
      <c r="L20" s="25"/>
      <c r="M20" s="25"/>
      <c r="N20" s="25"/>
      <c r="O20" s="25"/>
      <c r="P20" s="25"/>
      <c r="Q20" s="25"/>
      <c r="R20" s="25"/>
      <c r="S20" s="25"/>
      <c r="T20" s="25"/>
      <c r="U20" s="25"/>
      <c r="V20" s="25"/>
      <c r="W20" s="25"/>
    </row>
    <row r="21" spans="1:23" ht="12" customHeight="1">
      <c r="A21" s="25"/>
      <c r="B21" s="25"/>
      <c r="C21" s="25"/>
      <c r="D21" s="27"/>
      <c r="E21" s="27"/>
      <c r="F21" s="189"/>
      <c r="G21" s="25"/>
      <c r="H21" s="25"/>
      <c r="I21" s="25"/>
      <c r="J21" s="25"/>
      <c r="K21" s="27"/>
      <c r="L21" s="25"/>
      <c r="M21" s="25"/>
      <c r="N21" s="25"/>
      <c r="O21" s="25"/>
      <c r="P21" s="25"/>
      <c r="Q21" s="25"/>
      <c r="R21" s="25"/>
      <c r="S21" s="25"/>
      <c r="T21" s="25"/>
      <c r="U21" s="25"/>
      <c r="V21" s="25"/>
      <c r="W21" s="25"/>
    </row>
    <row r="22" spans="1:23" ht="12" customHeight="1">
      <c r="A22" s="25" t="s">
        <v>308</v>
      </c>
      <c r="B22" s="25"/>
      <c r="C22" s="25"/>
      <c r="D22" s="27">
        <v>34000</v>
      </c>
      <c r="E22" s="27">
        <v>34000</v>
      </c>
      <c r="F22" s="189"/>
      <c r="G22" s="25"/>
      <c r="H22" s="25"/>
      <c r="I22" s="25"/>
      <c r="J22" s="25"/>
      <c r="K22" s="27"/>
      <c r="L22" s="25"/>
      <c r="M22" s="25"/>
      <c r="N22" s="25"/>
      <c r="O22" s="25"/>
      <c r="P22" s="25"/>
      <c r="Q22" s="25"/>
      <c r="R22" s="25"/>
      <c r="S22" s="25"/>
      <c r="T22" s="25"/>
      <c r="U22" s="25"/>
      <c r="V22" s="25"/>
      <c r="W22" s="25"/>
    </row>
    <row r="23" spans="1:23" ht="12" customHeight="1">
      <c r="A23" s="25" t="s">
        <v>309</v>
      </c>
      <c r="B23" s="25"/>
      <c r="C23" s="134">
        <v>0.2</v>
      </c>
      <c r="D23" s="27">
        <f>-D22*0.2</f>
        <v>-6800</v>
      </c>
      <c r="E23" s="27">
        <f>-E22*0.2</f>
        <v>-6800</v>
      </c>
      <c r="F23" s="189"/>
      <c r="G23" s="25"/>
      <c r="H23" s="25"/>
      <c r="I23" s="25"/>
      <c r="J23" s="25"/>
      <c r="K23" s="27"/>
      <c r="L23" s="25"/>
      <c r="M23" s="25"/>
      <c r="N23" s="25"/>
      <c r="O23" s="25"/>
      <c r="P23" s="25"/>
      <c r="Q23" s="25"/>
      <c r="R23" s="25"/>
      <c r="S23" s="25"/>
      <c r="T23" s="25"/>
      <c r="U23" s="25"/>
      <c r="V23" s="25"/>
      <c r="W23" s="25"/>
    </row>
    <row r="24" spans="1:23" ht="12" customHeight="1">
      <c r="A24" s="25" t="s">
        <v>310</v>
      </c>
      <c r="B24" s="25"/>
      <c r="C24" s="25"/>
      <c r="D24" s="27"/>
      <c r="E24" s="27"/>
      <c r="F24" s="189"/>
      <c r="G24" s="25"/>
      <c r="H24" s="25"/>
      <c r="I24" s="25"/>
      <c r="J24" s="25"/>
      <c r="K24" s="25"/>
      <c r="L24" s="25"/>
      <c r="M24" s="25"/>
      <c r="N24" s="25"/>
      <c r="O24" s="25"/>
      <c r="P24" s="25"/>
      <c r="Q24" s="25"/>
      <c r="R24" s="25"/>
      <c r="S24" s="25"/>
      <c r="T24" s="25"/>
      <c r="U24" s="25"/>
      <c r="V24" s="25"/>
      <c r="W24" s="25"/>
    </row>
    <row r="25" spans="1:23" ht="12" customHeight="1">
      <c r="A25" s="25" t="s">
        <v>311</v>
      </c>
      <c r="B25" s="25" t="s">
        <v>312</v>
      </c>
      <c r="C25" s="25"/>
      <c r="D25" s="27">
        <v>0</v>
      </c>
      <c r="E25" s="190"/>
      <c r="F25" s="189"/>
      <c r="G25" s="25"/>
      <c r="H25" s="25"/>
      <c r="I25" s="25"/>
      <c r="J25" s="25"/>
      <c r="K25" s="25"/>
      <c r="L25" s="25"/>
      <c r="M25" s="25"/>
      <c r="N25" s="25"/>
      <c r="O25" s="25"/>
      <c r="P25" s="25"/>
      <c r="Q25" s="25"/>
      <c r="R25" s="25"/>
      <c r="S25" s="25"/>
      <c r="T25" s="25"/>
      <c r="U25" s="25"/>
      <c r="V25" s="25"/>
      <c r="W25" s="25"/>
    </row>
    <row r="26" spans="1:23" ht="12" customHeight="1">
      <c r="A26" s="25" t="s">
        <v>313</v>
      </c>
      <c r="B26" s="25"/>
      <c r="C26" s="25"/>
      <c r="D26" s="27">
        <f>-51-169</f>
        <v>-220</v>
      </c>
      <c r="E26" s="27">
        <f>-51-169</f>
        <v>-220</v>
      </c>
      <c r="F26" s="189"/>
      <c r="G26" s="25"/>
      <c r="H26" s="25"/>
      <c r="I26" s="25"/>
      <c r="J26" s="25"/>
      <c r="K26" s="25"/>
      <c r="L26" s="25"/>
      <c r="M26" s="25"/>
      <c r="N26" s="25"/>
      <c r="O26" s="25"/>
      <c r="P26" s="25"/>
      <c r="Q26" s="25"/>
      <c r="R26" s="25"/>
      <c r="S26" s="25"/>
      <c r="T26" s="25"/>
      <c r="U26" s="25"/>
      <c r="V26" s="25"/>
      <c r="W26" s="25"/>
    </row>
    <row r="27" spans="1:23" ht="12" customHeight="1">
      <c r="A27" s="25" t="s">
        <v>314</v>
      </c>
      <c r="B27" s="25" t="s">
        <v>315</v>
      </c>
      <c r="C27" s="25"/>
      <c r="D27" s="191">
        <v>0</v>
      </c>
      <c r="E27" s="190"/>
      <c r="F27" s="189"/>
      <c r="G27" s="25"/>
      <c r="H27" s="25"/>
      <c r="I27" s="25"/>
      <c r="J27" s="25"/>
      <c r="K27" s="25"/>
      <c r="L27" s="25"/>
      <c r="M27" s="25"/>
      <c r="N27" s="25"/>
      <c r="O27" s="25"/>
      <c r="P27" s="25"/>
      <c r="Q27" s="25"/>
      <c r="R27" s="25"/>
      <c r="S27" s="25"/>
      <c r="T27" s="25"/>
      <c r="U27" s="25"/>
      <c r="V27" s="25"/>
      <c r="W27" s="25"/>
    </row>
    <row r="28" spans="1:23" ht="12" customHeight="1">
      <c r="A28" s="25" t="s">
        <v>316</v>
      </c>
      <c r="B28" s="25" t="s">
        <v>317</v>
      </c>
      <c r="C28" s="25"/>
      <c r="D28" s="27">
        <v>0</v>
      </c>
      <c r="E28" s="27">
        <v>0</v>
      </c>
      <c r="F28" s="189"/>
      <c r="G28" s="25"/>
      <c r="H28" s="25"/>
      <c r="I28" s="25"/>
      <c r="J28" s="25"/>
      <c r="K28" s="25"/>
      <c r="L28" s="25"/>
      <c r="M28" s="25"/>
      <c r="N28" s="25"/>
      <c r="O28" s="25"/>
      <c r="P28" s="25"/>
      <c r="Q28" s="25"/>
      <c r="R28" s="25"/>
      <c r="S28" s="25"/>
      <c r="T28" s="25"/>
      <c r="U28" s="25"/>
      <c r="V28" s="25"/>
      <c r="W28" s="25"/>
    </row>
    <row r="29" spans="1:23" ht="12" customHeight="1">
      <c r="A29" s="25" t="s">
        <v>318</v>
      </c>
      <c r="B29" s="25"/>
      <c r="C29" s="25"/>
      <c r="D29" s="27">
        <f>-294-257</f>
        <v>-551</v>
      </c>
      <c r="E29" s="27">
        <f>-294-257</f>
        <v>-551</v>
      </c>
      <c r="F29" s="189"/>
      <c r="G29" s="25"/>
      <c r="H29" s="25"/>
      <c r="I29" s="25"/>
      <c r="J29" s="25"/>
      <c r="K29" s="25"/>
      <c r="L29" s="25"/>
      <c r="M29" s="25"/>
      <c r="N29" s="25"/>
      <c r="O29" s="25"/>
      <c r="P29" s="25"/>
      <c r="Q29" s="25"/>
      <c r="R29" s="25"/>
      <c r="S29" s="25"/>
      <c r="T29" s="25"/>
      <c r="U29" s="25"/>
      <c r="V29" s="25"/>
      <c r="W29" s="25"/>
    </row>
    <row r="30" spans="1:23" ht="12" customHeight="1">
      <c r="A30" s="25" t="s">
        <v>319</v>
      </c>
      <c r="B30" s="25"/>
      <c r="C30" s="25"/>
      <c r="D30" s="27"/>
      <c r="E30" s="27"/>
      <c r="F30" s="189"/>
      <c r="G30" s="25"/>
      <c r="H30" s="25"/>
      <c r="I30" s="25"/>
      <c r="J30" s="25"/>
      <c r="K30" s="25"/>
      <c r="L30" s="25"/>
      <c r="M30" s="25"/>
      <c r="N30" s="25"/>
      <c r="O30" s="25"/>
      <c r="P30" s="25"/>
      <c r="Q30" s="25"/>
      <c r="R30" s="25"/>
      <c r="S30" s="25"/>
      <c r="T30" s="25"/>
      <c r="U30" s="25"/>
      <c r="V30" s="25"/>
      <c r="W30" s="25"/>
    </row>
    <row r="31" spans="1:23" ht="12" customHeight="1">
      <c r="A31" s="184" t="s">
        <v>320</v>
      </c>
      <c r="B31" s="184" t="s">
        <v>321</v>
      </c>
      <c r="C31" s="184"/>
      <c r="D31" s="186"/>
      <c r="E31" s="186"/>
      <c r="F31" s="189"/>
      <c r="G31" s="25"/>
      <c r="H31" s="25"/>
      <c r="I31" s="25"/>
      <c r="J31" s="25"/>
      <c r="K31" s="25"/>
      <c r="L31" s="25"/>
      <c r="M31" s="25"/>
      <c r="N31" s="25"/>
      <c r="O31" s="25"/>
      <c r="P31" s="25"/>
      <c r="Q31" s="25"/>
      <c r="R31" s="25"/>
      <c r="S31" s="25"/>
      <c r="T31" s="25"/>
      <c r="U31" s="25"/>
      <c r="V31" s="25"/>
      <c r="W31" s="25"/>
    </row>
    <row r="32" spans="1:23" ht="12" customHeight="1">
      <c r="A32" s="25"/>
      <c r="B32" s="25"/>
      <c r="C32" s="25"/>
      <c r="D32" s="187">
        <f>SUM(D22:D31)</f>
        <v>26429</v>
      </c>
      <c r="E32" s="187">
        <f>SUM(E22:E31)</f>
        <v>26429</v>
      </c>
      <c r="F32" s="189"/>
      <c r="G32" s="25"/>
      <c r="H32" s="25"/>
      <c r="I32" s="25"/>
      <c r="J32" s="25"/>
      <c r="K32" s="25"/>
      <c r="L32" s="25"/>
      <c r="M32" s="25"/>
      <c r="N32" s="25"/>
      <c r="O32" s="25"/>
      <c r="P32" s="25"/>
      <c r="Q32" s="25"/>
      <c r="R32" s="25"/>
      <c r="S32" s="25"/>
      <c r="T32" s="25"/>
      <c r="U32" s="25"/>
      <c r="V32" s="25"/>
      <c r="W32" s="25"/>
    </row>
    <row r="33" spans="1:23" ht="12" customHeight="1">
      <c r="A33" s="25"/>
      <c r="B33" s="25"/>
      <c r="C33" s="25"/>
      <c r="D33" s="192">
        <f>D32/D19</f>
        <v>9.8030415430267068E-2</v>
      </c>
      <c r="E33" s="192">
        <f>E32/E19</f>
        <v>9.7344383057090242E-2</v>
      </c>
      <c r="F33" s="189"/>
      <c r="G33" s="25"/>
      <c r="H33" s="25"/>
      <c r="I33" s="25"/>
      <c r="J33" s="25"/>
      <c r="K33" s="25"/>
      <c r="L33" s="25"/>
      <c r="M33" s="25"/>
      <c r="N33" s="25"/>
      <c r="O33" s="25"/>
      <c r="P33" s="25"/>
      <c r="Q33" s="25"/>
      <c r="R33" s="25"/>
      <c r="S33" s="25"/>
      <c r="T33" s="25"/>
      <c r="U33" s="25"/>
      <c r="V33" s="25"/>
      <c r="W33" s="25"/>
    </row>
    <row r="34" spans="1:23" ht="12" customHeight="1">
      <c r="A34" s="25"/>
      <c r="B34" s="25"/>
      <c r="C34" s="25"/>
      <c r="D34" s="27"/>
      <c r="E34" s="27"/>
      <c r="F34" s="27"/>
      <c r="G34" s="25"/>
      <c r="H34" s="25"/>
      <c r="I34" s="25"/>
      <c r="J34" s="25"/>
      <c r="K34" s="25"/>
      <c r="L34" s="25"/>
      <c r="M34" s="25"/>
      <c r="N34" s="25"/>
      <c r="O34" s="25"/>
      <c r="P34" s="25"/>
      <c r="Q34" s="25"/>
      <c r="R34" s="25"/>
      <c r="S34" s="25"/>
      <c r="T34" s="25"/>
      <c r="U34" s="25"/>
      <c r="V34" s="25"/>
      <c r="W34" s="25"/>
    </row>
    <row r="35" spans="1:23" ht="12" customHeight="1">
      <c r="A35" s="25"/>
      <c r="B35" s="25"/>
      <c r="C35" s="25"/>
      <c r="D35" s="27"/>
      <c r="E35" s="27"/>
      <c r="F35" s="27"/>
      <c r="G35" s="25"/>
      <c r="H35" s="25"/>
      <c r="I35" s="25"/>
      <c r="J35" s="25"/>
      <c r="K35" s="25"/>
      <c r="L35" s="25"/>
      <c r="M35" s="25"/>
      <c r="N35" s="25"/>
      <c r="O35" s="25"/>
      <c r="P35" s="25"/>
      <c r="Q35" s="25"/>
      <c r="R35" s="25"/>
      <c r="S35" s="25"/>
      <c r="T35" s="25"/>
      <c r="U35" s="25"/>
      <c r="V35" s="25"/>
      <c r="W35" s="25"/>
    </row>
    <row r="36" spans="1:23" ht="12" customHeight="1">
      <c r="A36" s="25"/>
      <c r="B36" s="25"/>
      <c r="C36" s="25"/>
      <c r="D36" s="27"/>
      <c r="E36" s="27"/>
      <c r="F36" s="27"/>
      <c r="G36" s="25"/>
      <c r="H36" s="25"/>
      <c r="I36" s="25"/>
      <c r="J36" s="25"/>
      <c r="K36" s="25"/>
      <c r="L36" s="25"/>
      <c r="M36" s="25"/>
      <c r="N36" s="25"/>
      <c r="O36" s="25"/>
      <c r="P36" s="25"/>
      <c r="Q36" s="25"/>
      <c r="R36" s="25"/>
      <c r="S36" s="25"/>
      <c r="T36" s="25"/>
      <c r="U36" s="25"/>
      <c r="V36" s="25"/>
      <c r="W36" s="25"/>
    </row>
    <row r="37" spans="1:23" ht="12" customHeight="1">
      <c r="A37" s="25"/>
      <c r="B37" s="25"/>
      <c r="C37" s="25"/>
      <c r="D37" s="27"/>
      <c r="E37" s="27"/>
      <c r="F37" s="27"/>
      <c r="G37" s="25"/>
      <c r="H37" s="25"/>
      <c r="I37" s="25"/>
      <c r="J37" s="25"/>
      <c r="K37" s="25"/>
      <c r="L37" s="25"/>
      <c r="M37" s="25"/>
      <c r="N37" s="25"/>
      <c r="O37" s="25"/>
      <c r="P37" s="25"/>
      <c r="Q37" s="25"/>
      <c r="R37" s="25"/>
      <c r="S37" s="25"/>
      <c r="T37" s="25"/>
      <c r="U37" s="25"/>
      <c r="V37" s="25"/>
      <c r="W37"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S48"/>
  <sheetViews>
    <sheetView showGridLines="0" workbookViewId="0">
      <selection activeCell="G6" sqref="G6"/>
    </sheetView>
  </sheetViews>
  <sheetFormatPr defaultColWidth="9.1796875" defaultRowHeight="10"/>
  <cols>
    <col min="1" max="1" width="16" style="25" customWidth="1"/>
    <col min="2" max="2" width="9.81640625" style="26" bestFit="1" customWidth="1"/>
    <col min="3" max="3" width="5.81640625" style="28" bestFit="1" customWidth="1"/>
    <col min="4" max="4" width="9.54296875" style="25" customWidth="1"/>
    <col min="5" max="6" width="9" style="25" customWidth="1"/>
    <col min="7" max="7" width="10.1796875" style="25" customWidth="1"/>
    <col min="8" max="8" width="9" style="27" customWidth="1"/>
    <col min="9" max="9" width="9" style="25" customWidth="1"/>
    <col min="10" max="10" width="9" style="27" customWidth="1"/>
    <col min="11" max="11" width="9" style="25" customWidth="1"/>
    <col min="12" max="12" width="11.1796875" style="25" bestFit="1" customWidth="1"/>
    <col min="13" max="13" width="9.7265625" style="25" bestFit="1" customWidth="1"/>
    <col min="14" max="14" width="12.1796875" style="25" customWidth="1"/>
    <col min="15" max="15" width="14.7265625" style="25" customWidth="1"/>
    <col min="16" max="17" width="10" style="25" bestFit="1" customWidth="1"/>
    <col min="18" max="18" width="9.1796875" style="25"/>
    <col min="19" max="19" width="13.453125" style="25" customWidth="1"/>
    <col min="20" max="16384" width="9.1796875" style="25"/>
  </cols>
  <sheetData>
    <row r="2" spans="1:18" ht="10.5">
      <c r="A2" s="29"/>
      <c r="B2" s="26" t="s">
        <v>23</v>
      </c>
      <c r="C2" s="28" t="s">
        <v>150</v>
      </c>
      <c r="D2" s="26" t="s">
        <v>21</v>
      </c>
      <c r="E2" s="26" t="s">
        <v>152</v>
      </c>
      <c r="F2" s="26" t="s">
        <v>151</v>
      </c>
      <c r="G2" s="26" t="s">
        <v>147</v>
      </c>
      <c r="H2" s="26" t="s">
        <v>153</v>
      </c>
      <c r="I2" s="27" t="s">
        <v>27</v>
      </c>
      <c r="J2" s="25"/>
      <c r="K2" s="27" t="s">
        <v>148</v>
      </c>
      <c r="L2" s="25" t="s">
        <v>25</v>
      </c>
      <c r="M2" s="25" t="s">
        <v>149</v>
      </c>
    </row>
    <row r="3" spans="1:18">
      <c r="A3" s="25" t="s">
        <v>23</v>
      </c>
      <c r="B3" s="27">
        <v>4200</v>
      </c>
      <c r="D3" s="26"/>
      <c r="E3" s="26"/>
      <c r="F3" s="26"/>
      <c r="G3" s="26"/>
      <c r="H3" s="26"/>
      <c r="I3" s="27"/>
      <c r="J3" s="25"/>
      <c r="K3" s="27"/>
      <c r="L3" s="136"/>
    </row>
    <row r="4" spans="1:18">
      <c r="A4" s="25" t="s">
        <v>24</v>
      </c>
      <c r="B4" s="135">
        <v>2400</v>
      </c>
      <c r="C4" s="28">
        <v>0.7</v>
      </c>
      <c r="D4" s="27">
        <f>B4*C4</f>
        <v>1680</v>
      </c>
      <c r="E4" s="27">
        <f>B4+$B$3</f>
        <v>6600</v>
      </c>
      <c r="F4" s="27">
        <f>D4+$B$3</f>
        <v>5880</v>
      </c>
      <c r="G4" s="135">
        <v>-1260</v>
      </c>
      <c r="H4" s="27">
        <f>G4</f>
        <v>-1260</v>
      </c>
      <c r="I4" s="135"/>
      <c r="J4" s="138">
        <f>D4+G4+I4</f>
        <v>420</v>
      </c>
      <c r="K4" s="138">
        <f>B4+G4+I4</f>
        <v>1140</v>
      </c>
      <c r="L4" s="137">
        <f>-H4/F4</f>
        <v>0.21428571428571427</v>
      </c>
      <c r="M4" s="134">
        <v>0</v>
      </c>
    </row>
    <row r="5" spans="1:18">
      <c r="A5" s="25" t="s">
        <v>26</v>
      </c>
      <c r="B5" s="135">
        <v>1400</v>
      </c>
      <c r="C5" s="28">
        <v>0.7</v>
      </c>
      <c r="D5" s="27">
        <f>B5*C5</f>
        <v>979.99999999999989</v>
      </c>
      <c r="E5" s="27">
        <f>B5+$E$4</f>
        <v>8000</v>
      </c>
      <c r="F5" s="27">
        <f>D5+$F$4</f>
        <v>6860</v>
      </c>
      <c r="G5" s="135"/>
      <c r="H5" s="27">
        <f>H4+G5</f>
        <v>-1260</v>
      </c>
      <c r="I5" s="135"/>
      <c r="J5" s="138">
        <f>D5+G5+I5</f>
        <v>979.99999999999989</v>
      </c>
      <c r="K5" s="138">
        <f>B5+G5+I5</f>
        <v>1400</v>
      </c>
      <c r="L5" s="137">
        <f>-H5/F5</f>
        <v>0.18367346938775511</v>
      </c>
      <c r="M5" s="134">
        <v>0</v>
      </c>
    </row>
    <row r="6" spans="1:18">
      <c r="A6" s="25" t="s">
        <v>295</v>
      </c>
      <c r="B6" s="135">
        <v>2300</v>
      </c>
      <c r="C6" s="28">
        <v>0.7</v>
      </c>
      <c r="D6" s="27">
        <f>B6*C6</f>
        <v>1610</v>
      </c>
      <c r="E6" s="27">
        <f>B6+$E$4</f>
        <v>8900</v>
      </c>
      <c r="F6" s="27">
        <f>D6+$F$5</f>
        <v>8470</v>
      </c>
      <c r="G6" s="135">
        <v>-1500</v>
      </c>
      <c r="H6" s="27">
        <f>H5+G6</f>
        <v>-2760</v>
      </c>
      <c r="I6" s="135"/>
      <c r="J6" s="138">
        <f>D6+G6+I6</f>
        <v>110</v>
      </c>
      <c r="K6" s="138">
        <f>B6+G6+I6</f>
        <v>800</v>
      </c>
      <c r="L6" s="137">
        <f>-H6/F6</f>
        <v>0.32585596221959856</v>
      </c>
      <c r="M6" s="134">
        <v>0</v>
      </c>
    </row>
    <row r="7" spans="1:18">
      <c r="D7" s="27"/>
      <c r="E7" s="27"/>
      <c r="F7" s="27"/>
      <c r="G7" s="27"/>
      <c r="I7" s="138"/>
      <c r="K7" s="138"/>
      <c r="L7" s="136"/>
      <c r="M7" s="134"/>
    </row>
    <row r="8" spans="1:18">
      <c r="D8" s="27"/>
      <c r="E8" s="27"/>
      <c r="F8" s="27"/>
      <c r="G8" s="27"/>
      <c r="I8" s="138"/>
      <c r="K8" s="138"/>
      <c r="L8" s="136"/>
      <c r="M8" s="134"/>
    </row>
    <row r="9" spans="1:18">
      <c r="D9" s="26"/>
      <c r="E9" s="26"/>
      <c r="F9" s="26"/>
      <c r="G9" s="26"/>
      <c r="L9" s="136"/>
      <c r="M9" s="134"/>
    </row>
    <row r="10" spans="1:18">
      <c r="D10" s="26"/>
      <c r="E10" s="26"/>
      <c r="F10" s="26"/>
      <c r="G10" s="26"/>
      <c r="L10" s="136"/>
      <c r="M10" s="134"/>
    </row>
    <row r="11" spans="1:18">
      <c r="D11" s="26"/>
      <c r="E11" s="26"/>
      <c r="F11" s="26"/>
      <c r="G11" s="26"/>
    </row>
    <row r="13" spans="1:18" ht="10.5">
      <c r="A13" s="179" t="s">
        <v>294</v>
      </c>
      <c r="N13" s="172" t="s">
        <v>293</v>
      </c>
      <c r="O13" s="172" t="s">
        <v>140</v>
      </c>
    </row>
    <row r="14" spans="1:18">
      <c r="A14" s="173" t="s">
        <v>268</v>
      </c>
      <c r="B14" s="173"/>
      <c r="C14" s="173"/>
      <c r="D14" s="173"/>
      <c r="E14" s="173" t="s">
        <v>269</v>
      </c>
      <c r="F14" s="174">
        <v>700</v>
      </c>
      <c r="G14" s="173"/>
      <c r="H14" s="173"/>
      <c r="I14" s="173"/>
      <c r="J14" s="173"/>
      <c r="K14" s="173"/>
      <c r="L14" s="173"/>
      <c r="M14" s="173" t="s">
        <v>269</v>
      </c>
      <c r="N14" s="174">
        <f t="shared" ref="N14:N21" si="0">SUMIF(E:E,M14,F:F)</f>
        <v>1449.23</v>
      </c>
      <c r="O14" s="174">
        <f t="shared" ref="O14:O19" si="1">N14</f>
        <v>1449.23</v>
      </c>
      <c r="P14" s="173" t="s">
        <v>270</v>
      </c>
      <c r="Q14" s="173"/>
      <c r="R14" s="173"/>
    </row>
    <row r="15" spans="1:18">
      <c r="A15" s="173"/>
      <c r="B15" s="173"/>
      <c r="C15" s="173"/>
      <c r="D15" s="173"/>
      <c r="E15" s="173" t="s">
        <v>271</v>
      </c>
      <c r="F15" s="174">
        <v>800</v>
      </c>
      <c r="G15" s="173"/>
      <c r="H15" s="173"/>
      <c r="I15" s="173"/>
      <c r="J15" s="173"/>
      <c r="K15" s="173"/>
      <c r="L15" s="173"/>
      <c r="M15" s="173" t="s">
        <v>271</v>
      </c>
      <c r="N15" s="174">
        <f t="shared" si="0"/>
        <v>1406.25</v>
      </c>
      <c r="O15" s="174">
        <f t="shared" si="1"/>
        <v>1406.25</v>
      </c>
      <c r="P15" s="173"/>
      <c r="Q15" s="173"/>
      <c r="R15" s="173"/>
    </row>
    <row r="16" spans="1:18">
      <c r="A16" s="173"/>
      <c r="B16" s="173"/>
      <c r="C16" s="173"/>
      <c r="D16" s="173"/>
      <c r="E16" s="173" t="s">
        <v>272</v>
      </c>
      <c r="F16" s="174">
        <v>750</v>
      </c>
      <c r="G16" s="173"/>
      <c r="H16" s="173"/>
      <c r="I16" s="173"/>
      <c r="J16" s="173"/>
      <c r="K16" s="173"/>
      <c r="L16" s="173"/>
      <c r="M16" s="173" t="s">
        <v>272</v>
      </c>
      <c r="N16" s="174">
        <f t="shared" si="0"/>
        <v>2028.66</v>
      </c>
      <c r="O16" s="174">
        <f t="shared" si="1"/>
        <v>2028.66</v>
      </c>
      <c r="P16" s="173"/>
      <c r="Q16" s="173"/>
      <c r="R16" s="173"/>
    </row>
    <row r="17" spans="1:19" ht="10.5">
      <c r="A17" s="173"/>
      <c r="B17" s="173"/>
      <c r="C17" s="173"/>
      <c r="D17" s="173"/>
      <c r="E17" s="173" t="s">
        <v>273</v>
      </c>
      <c r="F17" s="174">
        <v>200</v>
      </c>
      <c r="G17" s="173"/>
      <c r="H17" s="173"/>
      <c r="I17" s="173"/>
      <c r="J17" s="173"/>
      <c r="K17" s="173"/>
      <c r="L17" s="173"/>
      <c r="M17" s="173" t="s">
        <v>273</v>
      </c>
      <c r="N17" s="174">
        <f t="shared" si="0"/>
        <v>805.74</v>
      </c>
      <c r="O17" s="174">
        <f t="shared" si="1"/>
        <v>805.74</v>
      </c>
      <c r="P17" s="175" t="s">
        <v>274</v>
      </c>
      <c r="Q17" s="176">
        <f>N14*12</f>
        <v>17390.760000000002</v>
      </c>
      <c r="R17" s="173"/>
    </row>
    <row r="18" spans="1:19">
      <c r="A18" s="173"/>
      <c r="B18" s="173"/>
      <c r="C18" s="173"/>
      <c r="D18" s="173"/>
      <c r="E18" s="173" t="s">
        <v>7</v>
      </c>
      <c r="F18" s="174">
        <v>740</v>
      </c>
      <c r="G18" s="173"/>
      <c r="H18" s="173"/>
      <c r="I18" s="173"/>
      <c r="J18" s="173"/>
      <c r="K18" s="173"/>
      <c r="L18" s="173"/>
      <c r="M18" s="173" t="s">
        <v>7</v>
      </c>
      <c r="N18" s="174">
        <f t="shared" si="0"/>
        <v>740</v>
      </c>
      <c r="O18" s="174">
        <f t="shared" si="1"/>
        <v>740</v>
      </c>
      <c r="P18" s="173"/>
      <c r="Q18" s="173"/>
      <c r="R18" s="173"/>
    </row>
    <row r="19" spans="1:19">
      <c r="A19" s="173"/>
      <c r="B19" s="173"/>
      <c r="C19" s="173"/>
      <c r="D19" s="173"/>
      <c r="E19" s="173" t="s">
        <v>10</v>
      </c>
      <c r="F19" s="174">
        <v>700</v>
      </c>
      <c r="G19" s="173"/>
      <c r="H19" s="173"/>
      <c r="I19" s="173"/>
      <c r="J19" s="173"/>
      <c r="K19" s="173"/>
      <c r="L19" s="173"/>
      <c r="M19" s="173" t="s">
        <v>10</v>
      </c>
      <c r="N19" s="174">
        <f t="shared" si="0"/>
        <v>700</v>
      </c>
      <c r="O19" s="174">
        <f t="shared" si="1"/>
        <v>700</v>
      </c>
      <c r="P19" s="173"/>
      <c r="Q19" s="173"/>
      <c r="R19" s="173"/>
    </row>
    <row r="20" spans="1:19">
      <c r="A20" s="173"/>
      <c r="B20" s="173"/>
      <c r="C20" s="173"/>
      <c r="D20" s="173"/>
      <c r="E20" s="173" t="s">
        <v>275</v>
      </c>
      <c r="F20" s="174">
        <v>1400</v>
      </c>
      <c r="G20" s="173"/>
      <c r="H20" s="173"/>
      <c r="I20" s="173"/>
      <c r="J20" s="173"/>
      <c r="K20" s="173"/>
      <c r="L20" s="173"/>
      <c r="M20" s="173" t="s">
        <v>275</v>
      </c>
      <c r="N20" s="174">
        <f t="shared" si="0"/>
        <v>1400</v>
      </c>
      <c r="O20" s="174">
        <v>3000</v>
      </c>
      <c r="P20" s="173"/>
      <c r="Q20" s="173"/>
      <c r="R20" s="173"/>
    </row>
    <row r="21" spans="1:19">
      <c r="A21" s="173"/>
      <c r="B21" s="173"/>
      <c r="C21" s="173"/>
      <c r="D21" s="173"/>
      <c r="E21" s="173" t="s">
        <v>9</v>
      </c>
      <c r="F21" s="174">
        <f>5823-F14-F15-F16-F17-F18-F19-F20</f>
        <v>533</v>
      </c>
      <c r="G21" s="173"/>
      <c r="H21" s="173"/>
      <c r="I21" s="173"/>
      <c r="J21" s="173"/>
      <c r="K21" s="173"/>
      <c r="L21" s="173"/>
      <c r="M21" s="173" t="s">
        <v>9</v>
      </c>
      <c r="N21" s="174">
        <f t="shared" si="0"/>
        <v>533</v>
      </c>
      <c r="O21" s="174">
        <v>3000</v>
      </c>
      <c r="P21" s="173"/>
      <c r="Q21" s="173"/>
      <c r="R21" s="173"/>
    </row>
    <row r="22" spans="1:19" ht="10.5">
      <c r="A22" s="173"/>
      <c r="B22" s="173"/>
      <c r="C22" s="173"/>
      <c r="D22" s="174"/>
      <c r="E22" s="174"/>
      <c r="F22" s="177">
        <f>SUM(F14:F21)</f>
        <v>5823</v>
      </c>
      <c r="G22" s="173"/>
      <c r="H22" s="173"/>
      <c r="I22" s="173"/>
      <c r="J22" s="173"/>
      <c r="K22" s="173"/>
      <c r="L22" s="173"/>
      <c r="M22" s="173"/>
      <c r="N22" s="177">
        <f>SUM(N14:N21)</f>
        <v>9062.880000000001</v>
      </c>
      <c r="O22" s="174">
        <v>1449.23</v>
      </c>
      <c r="P22" s="173"/>
      <c r="Q22" s="173"/>
      <c r="R22" s="173"/>
    </row>
    <row r="23" spans="1:19">
      <c r="A23" s="173"/>
      <c r="B23" s="173"/>
      <c r="C23" s="173"/>
      <c r="D23" s="174"/>
      <c r="E23" s="174"/>
      <c r="F23" s="173"/>
      <c r="G23" s="173"/>
      <c r="H23" s="173"/>
      <c r="I23" s="173"/>
      <c r="J23" s="173"/>
      <c r="K23" s="173"/>
      <c r="L23" s="173"/>
      <c r="M23" s="173"/>
      <c r="N23" s="174"/>
      <c r="O23" s="174">
        <v>1406.25</v>
      </c>
      <c r="P23" s="173"/>
      <c r="Q23" s="173"/>
      <c r="R23" s="173"/>
    </row>
    <row r="24" spans="1:19">
      <c r="A24" s="173" t="s">
        <v>276</v>
      </c>
      <c r="B24" s="173" t="s">
        <v>277</v>
      </c>
      <c r="C24" s="173">
        <v>6</v>
      </c>
      <c r="D24" s="174">
        <v>67.75</v>
      </c>
      <c r="E24" s="174"/>
      <c r="F24" s="173"/>
      <c r="G24" s="173"/>
      <c r="H24" s="173"/>
      <c r="I24" s="173"/>
      <c r="J24" s="173"/>
      <c r="K24" s="173"/>
      <c r="L24" s="173"/>
      <c r="M24" s="173"/>
      <c r="N24" s="174"/>
      <c r="O24" s="174">
        <v>2028.66</v>
      </c>
      <c r="P24" s="173"/>
      <c r="Q24" s="173"/>
      <c r="R24" s="173"/>
    </row>
    <row r="25" spans="1:19">
      <c r="A25" s="173"/>
      <c r="B25" s="173" t="s">
        <v>278</v>
      </c>
      <c r="C25" s="173">
        <v>7</v>
      </c>
      <c r="D25" s="174">
        <v>230.77</v>
      </c>
      <c r="E25" s="174"/>
      <c r="F25" s="173"/>
      <c r="G25" s="173"/>
      <c r="H25" s="173"/>
      <c r="I25" s="173"/>
      <c r="J25" s="173"/>
      <c r="K25" s="173"/>
      <c r="L25" s="173"/>
      <c r="M25" s="173"/>
      <c r="N25" s="174"/>
      <c r="O25" s="174">
        <v>805.74</v>
      </c>
      <c r="P25" s="173"/>
      <c r="Q25" s="173"/>
      <c r="R25" s="173"/>
    </row>
    <row r="26" spans="1:19" ht="10.5">
      <c r="A26" s="173"/>
      <c r="B26" s="173" t="s">
        <v>279</v>
      </c>
      <c r="C26" s="173">
        <v>7</v>
      </c>
      <c r="D26" s="174">
        <v>64.430000000000007</v>
      </c>
      <c r="E26" s="173" t="s">
        <v>269</v>
      </c>
      <c r="F26" s="178">
        <f>SUM(D24:D28)</f>
        <v>749.23</v>
      </c>
      <c r="G26" s="173"/>
      <c r="H26" s="173"/>
      <c r="I26" s="173"/>
      <c r="J26" s="173"/>
      <c r="K26" s="173"/>
      <c r="L26" s="173"/>
      <c r="M26" s="173"/>
      <c r="N26" s="174"/>
      <c r="O26" s="177">
        <f>SUM(O14:O25)</f>
        <v>18819.760000000002</v>
      </c>
      <c r="Q26" s="173"/>
      <c r="R26" s="173"/>
      <c r="S26" s="178">
        <f>Q17*2</f>
        <v>34781.520000000004</v>
      </c>
    </row>
    <row r="27" spans="1:19">
      <c r="A27" s="173"/>
      <c r="B27" s="173" t="s">
        <v>280</v>
      </c>
      <c r="C27" s="173">
        <v>6</v>
      </c>
      <c r="D27" s="174">
        <v>64.430000000000007</v>
      </c>
      <c r="E27" s="174"/>
      <c r="F27" s="173"/>
      <c r="G27" s="173"/>
      <c r="H27" s="173"/>
      <c r="I27" s="173"/>
      <c r="J27" s="173"/>
      <c r="K27" s="173"/>
      <c r="L27" s="173"/>
      <c r="M27" s="173"/>
      <c r="N27" s="174"/>
      <c r="O27" s="174"/>
      <c r="Q27" s="173"/>
      <c r="R27" s="173"/>
      <c r="S27" s="178">
        <f>Q17*2*0.79</f>
        <v>27477.400800000003</v>
      </c>
    </row>
    <row r="28" spans="1:19">
      <c r="A28" s="173"/>
      <c r="B28" s="173" t="s">
        <v>281</v>
      </c>
      <c r="C28" s="173">
        <v>6</v>
      </c>
      <c r="D28" s="174">
        <v>321.85000000000002</v>
      </c>
      <c r="E28" s="174"/>
      <c r="F28" s="173"/>
      <c r="G28" s="173"/>
      <c r="H28" s="173"/>
      <c r="I28" s="173"/>
      <c r="J28" s="173"/>
      <c r="K28" s="173"/>
      <c r="L28" s="173"/>
      <c r="M28" s="173"/>
      <c r="N28" s="174"/>
      <c r="O28" s="174"/>
      <c r="P28" s="173"/>
      <c r="Q28" s="173"/>
      <c r="R28" s="173"/>
    </row>
    <row r="29" spans="1:19">
      <c r="A29" s="173"/>
      <c r="B29" s="173" t="s">
        <v>282</v>
      </c>
      <c r="C29" s="173">
        <v>6</v>
      </c>
      <c r="D29" s="174">
        <v>193.14</v>
      </c>
      <c r="E29" s="174"/>
      <c r="F29" s="173"/>
      <c r="G29" s="173"/>
      <c r="H29" s="173"/>
      <c r="I29" s="173"/>
      <c r="J29" s="173"/>
      <c r="K29" s="173"/>
      <c r="L29" s="173"/>
      <c r="M29" s="173"/>
      <c r="N29" s="174"/>
      <c r="O29" s="173"/>
      <c r="P29" s="173"/>
      <c r="Q29" s="173"/>
      <c r="R29" s="173"/>
    </row>
    <row r="30" spans="1:19">
      <c r="A30" s="173"/>
      <c r="B30" s="173" t="s">
        <v>283</v>
      </c>
      <c r="C30" s="173">
        <v>6</v>
      </c>
      <c r="D30" s="174">
        <v>59.3</v>
      </c>
      <c r="E30" s="174"/>
      <c r="F30" s="173"/>
      <c r="G30" s="173"/>
      <c r="H30" s="173"/>
      <c r="I30" s="173"/>
      <c r="J30" s="173"/>
      <c r="K30" s="173"/>
      <c r="L30" s="173"/>
      <c r="M30" s="173"/>
      <c r="N30" s="174"/>
      <c r="O30" s="173"/>
      <c r="P30" s="173"/>
      <c r="Q30" s="173"/>
      <c r="R30" s="173"/>
    </row>
    <row r="31" spans="1:19">
      <c r="A31" s="173"/>
      <c r="B31" s="173" t="s">
        <v>284</v>
      </c>
      <c r="C31" s="173">
        <v>6</v>
      </c>
      <c r="D31" s="174">
        <v>353.81</v>
      </c>
      <c r="E31" s="173" t="s">
        <v>271</v>
      </c>
      <c r="F31" s="178">
        <f>SUM(D29:D31)</f>
        <v>606.25</v>
      </c>
      <c r="G31" s="173"/>
      <c r="H31" s="173"/>
      <c r="I31" s="173"/>
      <c r="J31" s="173"/>
      <c r="K31" s="173"/>
      <c r="L31" s="173"/>
      <c r="M31" s="173"/>
      <c r="N31" s="174"/>
      <c r="O31" s="173"/>
      <c r="P31" s="173"/>
      <c r="Q31" s="173"/>
      <c r="R31" s="173"/>
    </row>
    <row r="32" spans="1:19">
      <c r="A32" s="173"/>
      <c r="B32" s="173" t="s">
        <v>285</v>
      </c>
      <c r="C32" s="173">
        <v>6</v>
      </c>
      <c r="D32" s="174">
        <v>242.15</v>
      </c>
      <c r="E32" s="174"/>
      <c r="F32" s="173"/>
      <c r="G32" s="173"/>
      <c r="H32" s="173"/>
      <c r="I32" s="173"/>
      <c r="J32" s="173"/>
      <c r="K32" s="173"/>
      <c r="L32" s="173"/>
      <c r="M32" s="173"/>
      <c r="N32" s="174"/>
      <c r="O32" s="173"/>
      <c r="P32" s="173"/>
      <c r="Q32" s="173"/>
      <c r="R32" s="173"/>
    </row>
    <row r="33" spans="1:18">
      <c r="A33" s="173"/>
      <c r="B33" s="173" t="s">
        <v>286</v>
      </c>
      <c r="C33" s="173">
        <v>6</v>
      </c>
      <c r="D33" s="174">
        <v>189.86</v>
      </c>
      <c r="E33" s="174"/>
      <c r="F33" s="173"/>
      <c r="G33" s="173"/>
      <c r="H33" s="173"/>
      <c r="I33" s="173"/>
      <c r="J33" s="173"/>
      <c r="K33" s="173"/>
      <c r="L33" s="173"/>
      <c r="M33" s="173"/>
      <c r="N33" s="174"/>
      <c r="O33" s="173"/>
      <c r="P33" s="173"/>
      <c r="Q33" s="173"/>
      <c r="R33" s="173"/>
    </row>
    <row r="34" spans="1:18">
      <c r="A34" s="173"/>
      <c r="B34" s="173" t="s">
        <v>287</v>
      </c>
      <c r="C34" s="173"/>
      <c r="D34" s="174">
        <v>193.14</v>
      </c>
      <c r="E34" s="174"/>
      <c r="F34" s="173"/>
      <c r="G34" s="173"/>
      <c r="H34" s="173"/>
      <c r="I34" s="173"/>
      <c r="J34" s="173"/>
      <c r="K34" s="173"/>
      <c r="L34" s="173"/>
      <c r="M34" s="173"/>
      <c r="N34" s="174"/>
      <c r="O34" s="173"/>
      <c r="P34" s="173"/>
      <c r="Q34" s="173"/>
      <c r="R34" s="173"/>
    </row>
    <row r="35" spans="1:18">
      <c r="A35" s="173"/>
      <c r="B35" s="173" t="s">
        <v>288</v>
      </c>
      <c r="C35" s="173"/>
      <c r="D35" s="174">
        <v>240.97</v>
      </c>
      <c r="E35" s="173" t="s">
        <v>272</v>
      </c>
      <c r="F35" s="178">
        <f>SUM(D32:D37)</f>
        <v>1278.6600000000001</v>
      </c>
      <c r="G35" s="173"/>
      <c r="H35" s="173"/>
      <c r="I35" s="173"/>
      <c r="J35" s="173"/>
      <c r="K35" s="173"/>
      <c r="L35" s="173"/>
      <c r="M35" s="173"/>
      <c r="N35" s="174"/>
      <c r="O35" s="173"/>
      <c r="P35" s="173"/>
      <c r="Q35" s="173"/>
      <c r="R35" s="173"/>
    </row>
    <row r="36" spans="1:18">
      <c r="A36" s="173"/>
      <c r="B36" s="173" t="s">
        <v>289</v>
      </c>
      <c r="C36" s="173"/>
      <c r="D36" s="174">
        <v>170.39</v>
      </c>
      <c r="E36" s="174"/>
      <c r="F36" s="173"/>
      <c r="G36" s="173"/>
      <c r="H36" s="173"/>
      <c r="I36" s="173"/>
      <c r="J36" s="173"/>
      <c r="K36" s="173"/>
      <c r="L36" s="173"/>
      <c r="M36" s="173"/>
      <c r="N36" s="174"/>
      <c r="O36" s="173"/>
      <c r="P36" s="173"/>
      <c r="Q36" s="173"/>
      <c r="R36" s="173"/>
    </row>
    <row r="37" spans="1:18">
      <c r="A37" s="173"/>
      <c r="B37" s="173" t="s">
        <v>290</v>
      </c>
      <c r="C37" s="173"/>
      <c r="D37" s="174">
        <v>242.15</v>
      </c>
      <c r="E37" s="174"/>
      <c r="F37" s="173"/>
      <c r="G37" s="173"/>
      <c r="H37" s="173"/>
      <c r="I37" s="173"/>
      <c r="J37" s="173"/>
      <c r="K37" s="173"/>
      <c r="L37" s="173"/>
      <c r="M37" s="173"/>
      <c r="N37" s="174"/>
      <c r="O37" s="173"/>
      <c r="P37" s="173"/>
      <c r="Q37" s="173"/>
      <c r="R37" s="173"/>
    </row>
    <row r="38" spans="1:18">
      <c r="A38" s="173"/>
      <c r="B38" s="173" t="s">
        <v>291</v>
      </c>
      <c r="C38" s="173"/>
      <c r="D38" s="174">
        <v>259.27</v>
      </c>
      <c r="E38" s="174"/>
      <c r="F38" s="173"/>
      <c r="G38" s="173"/>
      <c r="H38" s="173"/>
      <c r="I38" s="173"/>
      <c r="J38" s="173"/>
      <c r="K38" s="173"/>
      <c r="L38" s="173"/>
      <c r="M38" s="173"/>
      <c r="N38" s="174"/>
      <c r="O38" s="173"/>
      <c r="P38" s="173"/>
      <c r="Q38" s="173"/>
      <c r="R38" s="173"/>
    </row>
    <row r="39" spans="1:18">
      <c r="A39" s="173"/>
      <c r="B39" s="173" t="s">
        <v>292</v>
      </c>
      <c r="C39" s="173"/>
      <c r="D39" s="174">
        <v>346.47</v>
      </c>
      <c r="E39" s="173" t="s">
        <v>273</v>
      </c>
      <c r="F39" s="178">
        <f>SUM(D38:D39)</f>
        <v>605.74</v>
      </c>
      <c r="G39" s="173"/>
      <c r="H39" s="173"/>
      <c r="I39" s="173"/>
      <c r="J39" s="173"/>
      <c r="K39" s="173"/>
      <c r="L39" s="173"/>
      <c r="M39" s="173"/>
      <c r="N39" s="174"/>
      <c r="O39" s="173"/>
      <c r="P39" s="173"/>
      <c r="Q39" s="173"/>
      <c r="R39" s="173"/>
    </row>
    <row r="40" spans="1:18">
      <c r="A40" s="173"/>
      <c r="B40" s="173"/>
      <c r="C40" s="173"/>
      <c r="D40" s="174"/>
      <c r="E40" s="174"/>
      <c r="F40" s="173"/>
      <c r="G40" s="173"/>
      <c r="H40" s="173"/>
      <c r="I40" s="173"/>
      <c r="J40" s="173"/>
      <c r="K40" s="173"/>
      <c r="L40" s="173"/>
      <c r="M40" s="173"/>
      <c r="N40" s="174"/>
      <c r="O40" s="173"/>
      <c r="P40" s="173"/>
      <c r="Q40" s="173"/>
      <c r="R40" s="173"/>
    </row>
    <row r="41" spans="1:18">
      <c r="A41" s="173"/>
      <c r="B41" s="173"/>
      <c r="C41" s="173"/>
      <c r="D41" s="174"/>
      <c r="E41" s="174"/>
      <c r="F41" s="173"/>
      <c r="G41" s="173"/>
      <c r="H41" s="173"/>
      <c r="I41" s="173"/>
      <c r="J41" s="173"/>
      <c r="K41" s="173"/>
      <c r="L41" s="173"/>
      <c r="M41" s="173"/>
      <c r="N41" s="174"/>
      <c r="O41" s="173"/>
      <c r="P41" s="173"/>
      <c r="Q41" s="173"/>
      <c r="R41" s="173"/>
    </row>
    <row r="42" spans="1:18">
      <c r="A42" s="173"/>
      <c r="B42" s="173"/>
      <c r="C42" s="173"/>
      <c r="D42" s="174"/>
      <c r="E42" s="174"/>
      <c r="F42" s="174"/>
      <c r="G42" s="173"/>
      <c r="H42" s="173"/>
      <c r="I42" s="173"/>
      <c r="J42" s="173"/>
      <c r="K42" s="173"/>
      <c r="L42" s="173"/>
      <c r="M42" s="173"/>
      <c r="N42" s="174"/>
      <c r="O42" s="173"/>
      <c r="P42" s="173"/>
      <c r="Q42" s="173"/>
      <c r="R42" s="173"/>
    </row>
    <row r="43" spans="1:18">
      <c r="A43" s="173"/>
      <c r="B43" s="173"/>
      <c r="C43" s="173"/>
      <c r="D43" s="174"/>
      <c r="E43" s="174"/>
      <c r="F43" s="173"/>
      <c r="G43" s="173"/>
      <c r="H43" s="173"/>
      <c r="I43" s="173"/>
      <c r="J43" s="173"/>
      <c r="K43" s="173"/>
      <c r="L43" s="173"/>
      <c r="M43" s="173"/>
      <c r="N43" s="174"/>
      <c r="O43" s="173"/>
      <c r="P43" s="173"/>
      <c r="Q43" s="173"/>
      <c r="R43" s="173"/>
    </row>
    <row r="44" spans="1:18">
      <c r="A44" s="173"/>
      <c r="B44" s="173"/>
      <c r="C44" s="173"/>
      <c r="D44" s="174"/>
      <c r="E44" s="174"/>
      <c r="F44" s="173"/>
      <c r="G44" s="173"/>
      <c r="H44" s="173"/>
      <c r="I44" s="173"/>
      <c r="J44" s="173"/>
      <c r="K44" s="173"/>
      <c r="L44" s="173"/>
      <c r="M44" s="173"/>
      <c r="N44" s="174"/>
      <c r="O44" s="173"/>
      <c r="P44" s="173"/>
      <c r="Q44" s="173"/>
      <c r="R44" s="173"/>
    </row>
    <row r="45" spans="1:18" ht="12.5">
      <c r="A45" s="170"/>
      <c r="B45" s="170"/>
      <c r="C45" s="170"/>
      <c r="D45" s="171"/>
      <c r="E45" s="171"/>
      <c r="F45" s="170"/>
      <c r="G45" s="170"/>
      <c r="H45" s="170"/>
      <c r="I45" s="170"/>
      <c r="J45" s="170"/>
      <c r="K45" s="170"/>
      <c r="L45" s="170"/>
      <c r="M45" s="170"/>
      <c r="N45" s="171"/>
      <c r="O45" s="170"/>
      <c r="P45" s="170"/>
      <c r="Q45" s="170"/>
      <c r="R45" s="170"/>
    </row>
    <row r="46" spans="1:18" ht="12.5">
      <c r="A46" s="170"/>
      <c r="B46" s="170"/>
      <c r="C46" s="170"/>
      <c r="D46" s="171"/>
      <c r="E46" s="171"/>
      <c r="F46" s="170"/>
      <c r="G46" s="170"/>
      <c r="H46" s="170"/>
      <c r="I46" s="170"/>
      <c r="J46" s="170"/>
      <c r="K46" s="170"/>
      <c r="L46" s="170"/>
      <c r="M46" s="170"/>
      <c r="N46" s="171"/>
      <c r="O46" s="170"/>
      <c r="P46" s="170"/>
      <c r="Q46" s="170"/>
      <c r="R46" s="170"/>
    </row>
    <row r="47" spans="1:18" ht="12.5">
      <c r="A47" s="170"/>
      <c r="B47" s="170"/>
      <c r="C47" s="170"/>
      <c r="G47" s="170"/>
      <c r="H47" s="170"/>
      <c r="I47" s="170"/>
      <c r="J47" s="170"/>
      <c r="K47" s="170"/>
      <c r="L47" s="170"/>
      <c r="M47" s="170"/>
      <c r="N47" s="171"/>
      <c r="O47" s="170"/>
      <c r="P47" s="170"/>
      <c r="Q47" s="170"/>
      <c r="R47" s="170"/>
    </row>
    <row r="48" spans="1:18" ht="12.5">
      <c r="A48" s="170"/>
      <c r="B48" s="170"/>
      <c r="C48" s="170"/>
      <c r="D48" s="171"/>
      <c r="E48" s="171"/>
      <c r="F48" s="170"/>
      <c r="G48" s="170"/>
      <c r="H48" s="170"/>
      <c r="I48" s="170"/>
      <c r="J48" s="170"/>
      <c r="K48" s="170"/>
      <c r="L48" s="170"/>
      <c r="M48" s="170"/>
      <c r="N48" s="171"/>
      <c r="O48" s="170"/>
      <c r="P48" s="170"/>
      <c r="Q48" s="170"/>
      <c r="R48" s="17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I102"/>
  <sheetViews>
    <sheetView showGridLines="0" zoomScale="90" zoomScaleNormal="90" workbookViewId="0">
      <selection activeCell="Q22" sqref="Q22"/>
    </sheetView>
  </sheetViews>
  <sheetFormatPr defaultRowHeight="14.5"/>
  <cols>
    <col min="1" max="1" width="3.453125" bestFit="1" customWidth="1"/>
    <col min="2" max="2" width="3.7265625" customWidth="1"/>
    <col min="3" max="3" width="60.453125" style="1" customWidth="1"/>
    <col min="4" max="4" width="1.54296875" style="88" customWidth="1"/>
    <col min="5" max="5" width="10.453125" style="43" customWidth="1"/>
    <col min="6" max="6" width="10.453125" style="43" bestFit="1" customWidth="1"/>
    <col min="7" max="7" width="31.26953125" style="1" bestFit="1" customWidth="1"/>
    <col min="8" max="8" width="14" customWidth="1"/>
    <col min="9" max="9" width="11.1796875" style="1" customWidth="1"/>
    <col min="10" max="10" width="20.1796875" customWidth="1"/>
  </cols>
  <sheetData>
    <row r="1" spans="1:9">
      <c r="A1" s="89" t="s">
        <v>249</v>
      </c>
      <c r="B1" s="89" t="s">
        <v>250</v>
      </c>
      <c r="C1" s="89" t="s">
        <v>79</v>
      </c>
      <c r="D1" s="139"/>
      <c r="E1" s="90" t="s">
        <v>95</v>
      </c>
      <c r="F1" s="90" t="s">
        <v>96</v>
      </c>
      <c r="G1" s="89" t="s">
        <v>77</v>
      </c>
      <c r="H1" s="89" t="s">
        <v>78</v>
      </c>
      <c r="I1" s="89" t="s">
        <v>208</v>
      </c>
    </row>
    <row r="2" spans="1:9">
      <c r="A2" t="s">
        <v>157</v>
      </c>
      <c r="B2" s="1">
        <v>1</v>
      </c>
      <c r="C2" s="1" t="s">
        <v>158</v>
      </c>
      <c r="D2" s="143"/>
      <c r="E2" s="142">
        <v>21.08</v>
      </c>
      <c r="G2" s="1" t="s">
        <v>98</v>
      </c>
      <c r="I2" s="1" t="s">
        <v>203</v>
      </c>
    </row>
    <row r="3" spans="1:9">
      <c r="A3" t="s">
        <v>157</v>
      </c>
      <c r="B3" s="1">
        <v>2</v>
      </c>
      <c r="C3" s="1" t="s">
        <v>158</v>
      </c>
      <c r="D3" s="143"/>
      <c r="E3" s="142">
        <v>8.1300000000000008</v>
      </c>
      <c r="G3" s="1" t="s">
        <v>98</v>
      </c>
      <c r="I3" s="1" t="s">
        <v>203</v>
      </c>
    </row>
    <row r="4" spans="1:9">
      <c r="A4" t="s">
        <v>157</v>
      </c>
      <c r="B4" s="1">
        <v>3</v>
      </c>
      <c r="C4" s="1" t="s">
        <v>158</v>
      </c>
      <c r="D4" s="143"/>
      <c r="E4" s="142">
        <v>21.08</v>
      </c>
      <c r="G4" s="1" t="s">
        <v>98</v>
      </c>
      <c r="I4" s="1" t="s">
        <v>203</v>
      </c>
    </row>
    <row r="5" spans="1:9">
      <c r="A5" t="s">
        <v>157</v>
      </c>
      <c r="B5" s="1">
        <v>4</v>
      </c>
      <c r="C5" s="1" t="s">
        <v>165</v>
      </c>
      <c r="D5" s="143"/>
      <c r="E5" s="142">
        <v>165.38</v>
      </c>
      <c r="G5" s="1" t="s">
        <v>168</v>
      </c>
      <c r="I5" s="1" t="s">
        <v>205</v>
      </c>
    </row>
    <row r="6" spans="1:9">
      <c r="A6" t="s">
        <v>157</v>
      </c>
      <c r="B6" s="1">
        <v>5</v>
      </c>
      <c r="C6" s="1" t="s">
        <v>158</v>
      </c>
      <c r="D6" s="143"/>
      <c r="E6" s="142">
        <v>6.89</v>
      </c>
      <c r="G6" s="1" t="s">
        <v>98</v>
      </c>
      <c r="I6" s="1" t="s">
        <v>203</v>
      </c>
    </row>
    <row r="7" spans="1:9">
      <c r="A7" t="s">
        <v>157</v>
      </c>
      <c r="B7" s="1">
        <v>6</v>
      </c>
      <c r="C7" s="1" t="s">
        <v>158</v>
      </c>
      <c r="D7" s="143"/>
      <c r="E7" s="142">
        <v>8.4600000000000009</v>
      </c>
      <c r="G7" s="1" t="s">
        <v>98</v>
      </c>
      <c r="I7" s="1" t="s">
        <v>203</v>
      </c>
    </row>
    <row r="8" spans="1:9">
      <c r="A8" t="s">
        <v>157</v>
      </c>
      <c r="B8" s="1">
        <v>7</v>
      </c>
      <c r="C8" s="1" t="s">
        <v>158</v>
      </c>
      <c r="D8" s="143"/>
      <c r="E8" s="142">
        <v>8.4600000000000009</v>
      </c>
      <c r="G8" s="1" t="s">
        <v>98</v>
      </c>
      <c r="I8" s="1" t="s">
        <v>203</v>
      </c>
    </row>
    <row r="9" spans="1:9">
      <c r="A9" t="s">
        <v>157</v>
      </c>
      <c r="B9" s="1">
        <v>8</v>
      </c>
      <c r="C9" s="1" t="s">
        <v>165</v>
      </c>
      <c r="D9" s="143"/>
      <c r="E9" s="142">
        <v>128.97999999999999</v>
      </c>
      <c r="G9" s="1" t="s">
        <v>168</v>
      </c>
      <c r="I9" s="1" t="s">
        <v>205</v>
      </c>
    </row>
    <row r="10" spans="1:9">
      <c r="A10" t="s">
        <v>157</v>
      </c>
      <c r="B10" s="1">
        <v>9</v>
      </c>
      <c r="C10" s="1" t="s">
        <v>160</v>
      </c>
      <c r="D10" s="143"/>
      <c r="E10" s="142">
        <v>78.3</v>
      </c>
      <c r="G10" s="1" t="s">
        <v>167</v>
      </c>
      <c r="I10" s="1" t="s">
        <v>203</v>
      </c>
    </row>
    <row r="11" spans="1:9">
      <c r="A11" t="s">
        <v>157</v>
      </c>
      <c r="B11" s="1">
        <v>10</v>
      </c>
      <c r="C11" s="1" t="s">
        <v>158</v>
      </c>
      <c r="D11" s="143"/>
      <c r="E11" s="142">
        <v>8.4600000000000009</v>
      </c>
      <c r="G11" s="1" t="s">
        <v>98</v>
      </c>
      <c r="I11" s="1" t="s">
        <v>203</v>
      </c>
    </row>
    <row r="12" spans="1:9">
      <c r="A12" t="s">
        <v>157</v>
      </c>
      <c r="B12" s="1">
        <v>11</v>
      </c>
      <c r="C12" s="1" t="s">
        <v>158</v>
      </c>
      <c r="D12" s="143"/>
      <c r="E12" s="142">
        <v>6.89</v>
      </c>
      <c r="G12" s="1" t="s">
        <v>98</v>
      </c>
      <c r="I12" s="1" t="s">
        <v>203</v>
      </c>
    </row>
    <row r="13" spans="1:9">
      <c r="A13" t="s">
        <v>157</v>
      </c>
      <c r="B13" s="1">
        <v>12</v>
      </c>
      <c r="C13" s="1" t="s">
        <v>158</v>
      </c>
      <c r="D13" s="143"/>
      <c r="E13" s="142">
        <v>8.4600000000000009</v>
      </c>
      <c r="G13" s="1" t="s">
        <v>98</v>
      </c>
      <c r="I13" s="1" t="s">
        <v>203</v>
      </c>
    </row>
    <row r="14" spans="1:9">
      <c r="A14" t="s">
        <v>157</v>
      </c>
      <c r="B14" s="1">
        <v>13</v>
      </c>
      <c r="C14" s="1" t="s">
        <v>162</v>
      </c>
      <c r="D14" s="143"/>
      <c r="E14" s="142">
        <v>67.69</v>
      </c>
      <c r="G14" s="1" t="s">
        <v>167</v>
      </c>
      <c r="I14" s="1" t="s">
        <v>203</v>
      </c>
    </row>
    <row r="15" spans="1:9">
      <c r="A15" t="s">
        <v>157</v>
      </c>
      <c r="B15" s="1">
        <v>14</v>
      </c>
      <c r="C15" s="1" t="s">
        <v>165</v>
      </c>
      <c r="D15" s="143"/>
      <c r="E15" s="142">
        <v>128.97999999999999</v>
      </c>
      <c r="G15" s="1" t="s">
        <v>168</v>
      </c>
      <c r="I15" s="1" t="s">
        <v>205</v>
      </c>
    </row>
    <row r="16" spans="1:9">
      <c r="A16" t="s">
        <v>157</v>
      </c>
      <c r="B16" s="1">
        <v>15</v>
      </c>
      <c r="C16" s="1" t="s">
        <v>158</v>
      </c>
      <c r="D16" s="143"/>
      <c r="E16" s="142">
        <v>6.89</v>
      </c>
      <c r="G16" s="1" t="s">
        <v>98</v>
      </c>
      <c r="I16" s="1" t="s">
        <v>203</v>
      </c>
    </row>
    <row r="17" spans="1:9">
      <c r="A17" t="s">
        <v>157</v>
      </c>
      <c r="B17" s="1">
        <v>16</v>
      </c>
      <c r="C17" s="1" t="s">
        <v>158</v>
      </c>
      <c r="D17" s="143"/>
      <c r="E17" s="142">
        <v>8.4600000000000009</v>
      </c>
      <c r="G17" s="1" t="s">
        <v>98</v>
      </c>
      <c r="I17" s="1" t="s">
        <v>203</v>
      </c>
    </row>
    <row r="18" spans="1:9">
      <c r="A18" t="s">
        <v>157</v>
      </c>
      <c r="B18" s="1">
        <v>17</v>
      </c>
      <c r="C18" s="1" t="s">
        <v>158</v>
      </c>
      <c r="D18" s="143"/>
      <c r="E18" s="142">
        <v>8.4600000000000009</v>
      </c>
      <c r="G18" s="1" t="s">
        <v>98</v>
      </c>
      <c r="I18" s="1" t="s">
        <v>203</v>
      </c>
    </row>
    <row r="19" spans="1:9">
      <c r="A19" t="s">
        <v>157</v>
      </c>
      <c r="B19" s="1">
        <v>18</v>
      </c>
      <c r="C19" s="1" t="s">
        <v>162</v>
      </c>
      <c r="D19" s="143"/>
      <c r="E19" s="142">
        <v>27</v>
      </c>
      <c r="G19" s="1" t="s">
        <v>167</v>
      </c>
      <c r="I19" s="1" t="s">
        <v>203</v>
      </c>
    </row>
    <row r="20" spans="1:9">
      <c r="A20" t="s">
        <v>157</v>
      </c>
      <c r="B20" s="1">
        <v>19</v>
      </c>
      <c r="C20" s="1" t="s">
        <v>165</v>
      </c>
      <c r="D20" s="143"/>
      <c r="E20" s="142">
        <v>128.97999999999999</v>
      </c>
      <c r="G20" s="1" t="s">
        <v>168</v>
      </c>
      <c r="I20" s="1" t="s">
        <v>205</v>
      </c>
    </row>
    <row r="21" spans="1:9">
      <c r="A21" t="s">
        <v>157</v>
      </c>
      <c r="B21" s="1">
        <v>20</v>
      </c>
      <c r="C21" s="1" t="s">
        <v>158</v>
      </c>
      <c r="D21" s="143"/>
      <c r="E21" s="142">
        <v>8.4600000000000009</v>
      </c>
      <c r="G21" s="1" t="s">
        <v>98</v>
      </c>
      <c r="I21" s="1" t="s">
        <v>203</v>
      </c>
    </row>
    <row r="22" spans="1:9">
      <c r="A22" t="s">
        <v>157</v>
      </c>
      <c r="B22" s="1">
        <v>21</v>
      </c>
      <c r="C22" s="1" t="s">
        <v>158</v>
      </c>
      <c r="D22" s="143"/>
      <c r="E22" s="142">
        <v>8.4600000000000009</v>
      </c>
      <c r="G22" s="1" t="s">
        <v>98</v>
      </c>
      <c r="I22" s="1" t="s">
        <v>203</v>
      </c>
    </row>
    <row r="23" spans="1:9">
      <c r="A23" t="s">
        <v>157</v>
      </c>
      <c r="B23" s="1">
        <v>22</v>
      </c>
      <c r="C23" s="1" t="s">
        <v>158</v>
      </c>
      <c r="D23" s="143"/>
      <c r="E23" s="142">
        <v>6.89</v>
      </c>
      <c r="G23" s="1" t="s">
        <v>98</v>
      </c>
      <c r="I23" s="1" t="s">
        <v>203</v>
      </c>
    </row>
    <row r="24" spans="1:9">
      <c r="A24" t="s">
        <v>157</v>
      </c>
      <c r="B24" s="1">
        <v>23</v>
      </c>
      <c r="C24" s="1" t="s">
        <v>162</v>
      </c>
      <c r="D24" s="143"/>
      <c r="E24" s="142">
        <v>27</v>
      </c>
      <c r="G24" s="1" t="s">
        <v>167</v>
      </c>
      <c r="I24" s="1" t="s">
        <v>203</v>
      </c>
    </row>
    <row r="25" spans="1:9">
      <c r="A25" t="s">
        <v>157</v>
      </c>
      <c r="B25" s="1">
        <v>24</v>
      </c>
      <c r="C25" s="1" t="s">
        <v>162</v>
      </c>
      <c r="D25" s="143"/>
      <c r="E25" s="142">
        <v>57.88</v>
      </c>
      <c r="G25" s="1" t="s">
        <v>167</v>
      </c>
      <c r="I25" s="1" t="s">
        <v>203</v>
      </c>
    </row>
    <row r="26" spans="1:9">
      <c r="A26" t="s">
        <v>157</v>
      </c>
      <c r="B26" s="1">
        <v>25</v>
      </c>
      <c r="C26" s="1" t="s">
        <v>165</v>
      </c>
      <c r="D26" s="143"/>
      <c r="E26" s="142">
        <v>128.97999999999999</v>
      </c>
      <c r="G26" s="1" t="s">
        <v>168</v>
      </c>
      <c r="I26" s="1" t="s">
        <v>205</v>
      </c>
    </row>
    <row r="27" spans="1:9">
      <c r="A27" t="s">
        <v>157</v>
      </c>
      <c r="B27" s="1">
        <v>26</v>
      </c>
      <c r="C27" s="1" t="s">
        <v>158</v>
      </c>
      <c r="D27" s="143"/>
      <c r="E27" s="142">
        <v>6.89</v>
      </c>
      <c r="G27" s="1" t="s">
        <v>98</v>
      </c>
      <c r="I27" s="1" t="s">
        <v>203</v>
      </c>
    </row>
    <row r="28" spans="1:9">
      <c r="A28" t="s">
        <v>157</v>
      </c>
      <c r="B28" s="1">
        <v>27</v>
      </c>
      <c r="C28" s="1" t="s">
        <v>158</v>
      </c>
      <c r="D28" s="143"/>
      <c r="E28" s="142">
        <v>8.4600000000000009</v>
      </c>
      <c r="G28" s="1" t="s">
        <v>98</v>
      </c>
      <c r="I28" s="1" t="s">
        <v>203</v>
      </c>
    </row>
    <row r="29" spans="1:9">
      <c r="A29" t="s">
        <v>157</v>
      </c>
      <c r="B29" s="1">
        <v>28</v>
      </c>
      <c r="C29" s="1" t="s">
        <v>158</v>
      </c>
      <c r="D29" s="143"/>
      <c r="E29" s="142">
        <v>8.4600000000000009</v>
      </c>
      <c r="G29" s="1" t="s">
        <v>98</v>
      </c>
      <c r="I29" s="1" t="s">
        <v>203</v>
      </c>
    </row>
    <row r="30" spans="1:9">
      <c r="A30" t="s">
        <v>157</v>
      </c>
      <c r="B30" s="1">
        <v>29</v>
      </c>
      <c r="C30" s="1" t="s">
        <v>162</v>
      </c>
      <c r="D30" s="143"/>
      <c r="E30" s="142">
        <v>20</v>
      </c>
      <c r="G30" s="1" t="s">
        <v>167</v>
      </c>
      <c r="I30" s="1" t="s">
        <v>203</v>
      </c>
    </row>
    <row r="31" spans="1:9">
      <c r="A31" t="s">
        <v>157</v>
      </c>
      <c r="B31" s="1">
        <v>30</v>
      </c>
      <c r="C31" s="1" t="s">
        <v>162</v>
      </c>
      <c r="D31" s="143"/>
      <c r="E31" s="142">
        <v>57.59</v>
      </c>
      <c r="G31" s="1" t="s">
        <v>167</v>
      </c>
      <c r="I31" s="1" t="s">
        <v>203</v>
      </c>
    </row>
    <row r="32" spans="1:9">
      <c r="A32" t="s">
        <v>157</v>
      </c>
      <c r="B32" s="1">
        <v>31</v>
      </c>
      <c r="C32" s="1" t="s">
        <v>165</v>
      </c>
      <c r="D32" s="143"/>
      <c r="E32" s="142">
        <v>128.97999999999999</v>
      </c>
      <c r="G32" s="1" t="s">
        <v>168</v>
      </c>
      <c r="I32" s="1" t="s">
        <v>205</v>
      </c>
    </row>
    <row r="33" spans="1:9">
      <c r="A33" t="s">
        <v>157</v>
      </c>
      <c r="B33" s="1">
        <v>32</v>
      </c>
      <c r="C33" s="1" t="s">
        <v>158</v>
      </c>
      <c r="D33" s="143"/>
      <c r="E33" s="142">
        <v>6.89</v>
      </c>
      <c r="G33" s="1" t="s">
        <v>98</v>
      </c>
      <c r="I33" s="1" t="s">
        <v>203</v>
      </c>
    </row>
    <row r="34" spans="1:9">
      <c r="A34" t="s">
        <v>157</v>
      </c>
      <c r="B34" s="1">
        <v>33</v>
      </c>
      <c r="C34" s="1" t="s">
        <v>158</v>
      </c>
      <c r="D34" s="143"/>
      <c r="E34" s="142">
        <v>8.4600000000000009</v>
      </c>
      <c r="G34" s="1" t="s">
        <v>98</v>
      </c>
      <c r="I34" s="1" t="s">
        <v>203</v>
      </c>
    </row>
    <row r="35" spans="1:9">
      <c r="A35" t="s">
        <v>157</v>
      </c>
      <c r="B35" s="1">
        <v>34</v>
      </c>
      <c r="C35" s="1" t="s">
        <v>158</v>
      </c>
      <c r="D35" s="143"/>
      <c r="E35" s="142">
        <v>8.4600000000000009</v>
      </c>
      <c r="G35" s="1" t="s">
        <v>98</v>
      </c>
      <c r="I35" s="1" t="s">
        <v>203</v>
      </c>
    </row>
    <row r="36" spans="1:9">
      <c r="A36" t="s">
        <v>157</v>
      </c>
      <c r="B36" s="1">
        <v>35</v>
      </c>
      <c r="C36" s="1" t="s">
        <v>162</v>
      </c>
      <c r="D36" s="143"/>
      <c r="E36" s="142">
        <v>20</v>
      </c>
      <c r="G36" s="1" t="s">
        <v>167</v>
      </c>
      <c r="I36" s="1" t="s">
        <v>203</v>
      </c>
    </row>
    <row r="37" spans="1:9">
      <c r="A37" t="s">
        <v>157</v>
      </c>
      <c r="B37" s="1">
        <v>36</v>
      </c>
      <c r="C37" s="1" t="s">
        <v>160</v>
      </c>
      <c r="D37" s="143"/>
      <c r="E37" s="142">
        <v>126.56</v>
      </c>
      <c r="G37" s="1" t="s">
        <v>167</v>
      </c>
      <c r="I37" s="1" t="s">
        <v>203</v>
      </c>
    </row>
    <row r="38" spans="1:9">
      <c r="A38" t="s">
        <v>157</v>
      </c>
      <c r="B38" s="1">
        <v>37</v>
      </c>
      <c r="C38" s="1" t="s">
        <v>165</v>
      </c>
      <c r="D38" s="143"/>
      <c r="E38" s="142">
        <v>128.97999999999999</v>
      </c>
      <c r="G38" s="1" t="s">
        <v>168</v>
      </c>
      <c r="I38" s="1" t="s">
        <v>205</v>
      </c>
    </row>
    <row r="39" spans="1:9">
      <c r="A39" t="s">
        <v>157</v>
      </c>
      <c r="B39" s="1">
        <v>38</v>
      </c>
      <c r="C39" s="1" t="s">
        <v>158</v>
      </c>
      <c r="D39" s="143"/>
      <c r="E39" s="142">
        <v>8.4600000000000009</v>
      </c>
      <c r="G39" s="1" t="s">
        <v>98</v>
      </c>
      <c r="I39" s="1" t="s">
        <v>203</v>
      </c>
    </row>
    <row r="40" spans="1:9">
      <c r="A40" t="s">
        <v>157</v>
      </c>
      <c r="B40" s="1">
        <v>39</v>
      </c>
      <c r="C40" s="1" t="s">
        <v>158</v>
      </c>
      <c r="D40" s="143"/>
      <c r="E40" s="142">
        <v>6.89</v>
      </c>
      <c r="G40" s="1" t="s">
        <v>98</v>
      </c>
      <c r="I40" s="1" t="s">
        <v>203</v>
      </c>
    </row>
    <row r="41" spans="1:9">
      <c r="A41" t="s">
        <v>157</v>
      </c>
      <c r="B41" s="1">
        <v>40</v>
      </c>
      <c r="C41" s="1" t="s">
        <v>158</v>
      </c>
      <c r="D41" s="143"/>
      <c r="E41" s="142">
        <v>8.4600000000000009</v>
      </c>
      <c r="G41" s="1" t="s">
        <v>98</v>
      </c>
      <c r="I41" s="1" t="s">
        <v>203</v>
      </c>
    </row>
    <row r="42" spans="1:9">
      <c r="A42" t="s">
        <v>157</v>
      </c>
      <c r="B42" s="1">
        <v>41</v>
      </c>
      <c r="C42" s="1" t="s">
        <v>162</v>
      </c>
      <c r="D42" s="143"/>
      <c r="E42" s="142">
        <v>20</v>
      </c>
      <c r="G42" s="1" t="s">
        <v>167</v>
      </c>
      <c r="I42" s="1" t="s">
        <v>203</v>
      </c>
    </row>
    <row r="43" spans="1:9">
      <c r="A43" t="s">
        <v>157</v>
      </c>
      <c r="B43" s="1">
        <v>42</v>
      </c>
      <c r="C43" s="1" t="s">
        <v>162</v>
      </c>
      <c r="D43" s="143"/>
      <c r="E43" s="142">
        <v>124.97</v>
      </c>
      <c r="G43" s="1" t="s">
        <v>167</v>
      </c>
      <c r="I43" s="1" t="s">
        <v>203</v>
      </c>
    </row>
    <row r="44" spans="1:9">
      <c r="A44" t="s">
        <v>157</v>
      </c>
      <c r="B44" s="1">
        <v>43</v>
      </c>
      <c r="C44" s="1" t="s">
        <v>162</v>
      </c>
      <c r="D44" s="143"/>
      <c r="E44" s="142">
        <v>20</v>
      </c>
      <c r="G44" s="1" t="s">
        <v>167</v>
      </c>
      <c r="I44" s="1" t="s">
        <v>203</v>
      </c>
    </row>
    <row r="45" spans="1:9">
      <c r="A45" t="s">
        <v>157</v>
      </c>
      <c r="B45" s="1">
        <v>44</v>
      </c>
      <c r="C45" s="1" t="s">
        <v>161</v>
      </c>
      <c r="D45" s="143"/>
      <c r="E45" s="142">
        <v>28.12</v>
      </c>
      <c r="G45" s="1" t="s">
        <v>166</v>
      </c>
      <c r="I45" s="1" t="s">
        <v>203</v>
      </c>
    </row>
    <row r="46" spans="1:9">
      <c r="A46" t="s">
        <v>157</v>
      </c>
      <c r="B46" s="1">
        <v>45</v>
      </c>
      <c r="C46" s="1" t="s">
        <v>165</v>
      </c>
      <c r="D46" s="143"/>
      <c r="E46" s="142">
        <v>128.97999999999999</v>
      </c>
      <c r="G46" s="1" t="s">
        <v>168</v>
      </c>
      <c r="I46" s="1" t="s">
        <v>205</v>
      </c>
    </row>
    <row r="47" spans="1:9">
      <c r="A47" t="s">
        <v>157</v>
      </c>
      <c r="B47" s="1">
        <v>46</v>
      </c>
      <c r="C47" s="1" t="s">
        <v>163</v>
      </c>
      <c r="D47" s="143"/>
      <c r="E47" s="142">
        <v>138.1</v>
      </c>
      <c r="G47" s="1" t="s">
        <v>169</v>
      </c>
      <c r="I47" s="1" t="s">
        <v>203</v>
      </c>
    </row>
    <row r="48" spans="1:9">
      <c r="A48" t="s">
        <v>157</v>
      </c>
      <c r="B48" s="1">
        <v>47</v>
      </c>
      <c r="C48" s="1" t="s">
        <v>158</v>
      </c>
      <c r="D48" s="143"/>
      <c r="E48" s="142">
        <v>8.4600000000000009</v>
      </c>
      <c r="G48" s="1" t="s">
        <v>98</v>
      </c>
      <c r="I48" s="1" t="s">
        <v>203</v>
      </c>
    </row>
    <row r="49" spans="1:9">
      <c r="A49" t="s">
        <v>157</v>
      </c>
      <c r="B49" s="1">
        <v>48</v>
      </c>
      <c r="C49" s="1" t="s">
        <v>158</v>
      </c>
      <c r="D49" s="143"/>
      <c r="E49" s="142">
        <v>6.89</v>
      </c>
      <c r="G49" s="1" t="s">
        <v>98</v>
      </c>
      <c r="I49" s="1" t="s">
        <v>203</v>
      </c>
    </row>
    <row r="50" spans="1:9">
      <c r="A50" t="s">
        <v>157</v>
      </c>
      <c r="B50" s="1">
        <v>49</v>
      </c>
      <c r="C50" s="1" t="s">
        <v>158</v>
      </c>
      <c r="D50" s="143"/>
      <c r="E50" s="142">
        <v>8.4600000000000009</v>
      </c>
      <c r="G50" s="1" t="s">
        <v>98</v>
      </c>
      <c r="I50" s="1" t="s">
        <v>203</v>
      </c>
    </row>
    <row r="51" spans="1:9">
      <c r="A51" t="s">
        <v>157</v>
      </c>
      <c r="B51" s="1">
        <v>50</v>
      </c>
      <c r="C51" s="1" t="s">
        <v>162</v>
      </c>
      <c r="D51" s="143"/>
      <c r="E51" s="142">
        <v>20</v>
      </c>
      <c r="G51" s="1" t="s">
        <v>167</v>
      </c>
      <c r="I51" s="1" t="s">
        <v>203</v>
      </c>
    </row>
    <row r="52" spans="1:9">
      <c r="A52" t="s">
        <v>157</v>
      </c>
      <c r="B52" s="1">
        <v>51</v>
      </c>
      <c r="C52" s="1" t="s">
        <v>162</v>
      </c>
      <c r="D52" s="143"/>
      <c r="E52" s="142">
        <v>20</v>
      </c>
      <c r="G52" s="1" t="s">
        <v>167</v>
      </c>
      <c r="I52" s="1" t="s">
        <v>203</v>
      </c>
    </row>
    <row r="53" spans="1:9">
      <c r="A53" t="s">
        <v>157</v>
      </c>
      <c r="B53" s="1">
        <v>52</v>
      </c>
      <c r="C53" s="1" t="s">
        <v>161</v>
      </c>
      <c r="D53" s="143"/>
      <c r="E53" s="142">
        <v>16.329999999999998</v>
      </c>
      <c r="G53" s="1" t="s">
        <v>166</v>
      </c>
      <c r="I53" s="1" t="s">
        <v>203</v>
      </c>
    </row>
    <row r="54" spans="1:9">
      <c r="A54" t="s">
        <v>157</v>
      </c>
      <c r="B54" s="1">
        <v>53</v>
      </c>
      <c r="C54" s="1" t="s">
        <v>163</v>
      </c>
      <c r="D54" s="143"/>
      <c r="E54" s="142">
        <v>498.97</v>
      </c>
      <c r="G54" s="1" t="s">
        <v>169</v>
      </c>
      <c r="I54" s="1" t="s">
        <v>203</v>
      </c>
    </row>
    <row r="55" spans="1:9">
      <c r="A55" t="s">
        <v>157</v>
      </c>
      <c r="B55" s="1">
        <v>54</v>
      </c>
      <c r="C55" s="1" t="s">
        <v>165</v>
      </c>
      <c r="D55" s="143"/>
      <c r="E55" s="142">
        <v>128.97999999999999</v>
      </c>
      <c r="G55" s="1" t="s">
        <v>168</v>
      </c>
      <c r="I55" s="1" t="s">
        <v>205</v>
      </c>
    </row>
    <row r="56" spans="1:9">
      <c r="A56" t="s">
        <v>157</v>
      </c>
      <c r="B56" s="1">
        <v>55</v>
      </c>
      <c r="C56" s="1" t="s">
        <v>164</v>
      </c>
      <c r="D56" s="143"/>
      <c r="E56" s="142">
        <v>80</v>
      </c>
      <c r="G56" s="1" t="s">
        <v>97</v>
      </c>
      <c r="H56" s="1" t="s">
        <v>74</v>
      </c>
      <c r="I56" s="1" t="s">
        <v>203</v>
      </c>
    </row>
    <row r="57" spans="1:9">
      <c r="A57" t="s">
        <v>157</v>
      </c>
      <c r="B57" s="1">
        <v>56</v>
      </c>
      <c r="C57" s="1" t="s">
        <v>158</v>
      </c>
      <c r="D57" s="143"/>
      <c r="E57" s="142">
        <v>8.4600000000000009</v>
      </c>
      <c r="G57" s="1" t="s">
        <v>98</v>
      </c>
      <c r="I57" s="1" t="s">
        <v>203</v>
      </c>
    </row>
    <row r="58" spans="1:9">
      <c r="A58" t="s">
        <v>157</v>
      </c>
      <c r="B58" s="1">
        <v>57</v>
      </c>
      <c r="C58" s="1" t="s">
        <v>158</v>
      </c>
      <c r="D58" s="143"/>
      <c r="E58" s="142">
        <v>8.4600000000000009</v>
      </c>
      <c r="G58" s="1" t="s">
        <v>98</v>
      </c>
      <c r="I58" s="1" t="s">
        <v>203</v>
      </c>
    </row>
    <row r="59" spans="1:9">
      <c r="A59" t="s">
        <v>157</v>
      </c>
      <c r="B59" s="1">
        <v>58</v>
      </c>
      <c r="C59" s="1" t="s">
        <v>158</v>
      </c>
      <c r="D59" s="143"/>
      <c r="E59" s="142">
        <v>6.89</v>
      </c>
      <c r="G59" s="1" t="s">
        <v>98</v>
      </c>
      <c r="I59" s="1" t="s">
        <v>203</v>
      </c>
    </row>
    <row r="60" spans="1:9">
      <c r="A60" t="s">
        <v>157</v>
      </c>
      <c r="B60" s="1">
        <v>59</v>
      </c>
      <c r="C60" s="1" t="s">
        <v>162</v>
      </c>
      <c r="D60" s="143"/>
      <c r="E60" s="142">
        <v>20</v>
      </c>
      <c r="G60" s="1" t="s">
        <v>167</v>
      </c>
      <c r="I60" s="1" t="s">
        <v>203</v>
      </c>
    </row>
    <row r="61" spans="1:9">
      <c r="A61" t="s">
        <v>157</v>
      </c>
      <c r="B61" s="1">
        <v>60</v>
      </c>
      <c r="C61" s="1" t="s">
        <v>162</v>
      </c>
      <c r="D61" s="143"/>
      <c r="E61" s="142">
        <v>20</v>
      </c>
      <c r="G61" s="1" t="s">
        <v>167</v>
      </c>
      <c r="I61" s="1" t="s">
        <v>203</v>
      </c>
    </row>
    <row r="62" spans="1:9">
      <c r="A62" t="s">
        <v>157</v>
      </c>
      <c r="B62" s="1">
        <v>61</v>
      </c>
      <c r="C62" s="1" t="s">
        <v>161</v>
      </c>
      <c r="D62" s="143"/>
      <c r="E62" s="142">
        <v>25.99</v>
      </c>
      <c r="G62" s="1" t="s">
        <v>166</v>
      </c>
      <c r="I62" s="1" t="s">
        <v>203</v>
      </c>
    </row>
    <row r="63" spans="1:9">
      <c r="A63" t="s">
        <v>157</v>
      </c>
      <c r="B63" s="1">
        <v>62</v>
      </c>
      <c r="C63" s="1" t="s">
        <v>165</v>
      </c>
      <c r="D63" s="143"/>
      <c r="E63" s="142">
        <v>128.97999999999999</v>
      </c>
      <c r="G63" s="1" t="s">
        <v>168</v>
      </c>
      <c r="I63" s="1" t="s">
        <v>205</v>
      </c>
    </row>
    <row r="64" spans="1:9">
      <c r="A64" t="s">
        <v>157</v>
      </c>
      <c r="B64" s="1">
        <v>63</v>
      </c>
      <c r="C64" s="1" t="s">
        <v>163</v>
      </c>
      <c r="D64" s="143"/>
      <c r="E64" s="142">
        <v>132.54</v>
      </c>
      <c r="G64" s="1" t="s">
        <v>169</v>
      </c>
      <c r="I64" s="1" t="s">
        <v>203</v>
      </c>
    </row>
    <row r="65" spans="1:9">
      <c r="A65" t="s">
        <v>157</v>
      </c>
      <c r="B65" s="1">
        <v>64</v>
      </c>
      <c r="C65" s="1" t="s">
        <v>158</v>
      </c>
      <c r="D65" s="143"/>
      <c r="E65" s="142">
        <v>6.89</v>
      </c>
      <c r="G65" s="1" t="s">
        <v>98</v>
      </c>
      <c r="I65" s="1" t="s">
        <v>203</v>
      </c>
    </row>
    <row r="66" spans="1:9">
      <c r="A66" t="s">
        <v>157</v>
      </c>
      <c r="B66" s="1">
        <v>65</v>
      </c>
      <c r="C66" s="1" t="s">
        <v>158</v>
      </c>
      <c r="D66" s="143"/>
      <c r="E66" s="142">
        <v>8.4600000000000009</v>
      </c>
      <c r="G66" s="1" t="s">
        <v>98</v>
      </c>
      <c r="I66" s="1" t="s">
        <v>203</v>
      </c>
    </row>
    <row r="67" spans="1:9">
      <c r="A67" t="s">
        <v>157</v>
      </c>
      <c r="B67" s="1">
        <v>66</v>
      </c>
      <c r="C67" s="1" t="s">
        <v>158</v>
      </c>
      <c r="D67" s="143"/>
      <c r="E67" s="142">
        <v>8.4600000000000009</v>
      </c>
      <c r="G67" s="1" t="s">
        <v>98</v>
      </c>
      <c r="I67" s="1" t="s">
        <v>203</v>
      </c>
    </row>
    <row r="68" spans="1:9">
      <c r="A68" t="s">
        <v>157</v>
      </c>
      <c r="B68" s="1">
        <v>67</v>
      </c>
      <c r="C68" s="1" t="s">
        <v>162</v>
      </c>
      <c r="D68" s="143"/>
      <c r="E68" s="142">
        <v>20</v>
      </c>
      <c r="G68" s="1" t="s">
        <v>167</v>
      </c>
      <c r="I68" s="1" t="s">
        <v>203</v>
      </c>
    </row>
    <row r="69" spans="1:9">
      <c r="A69" t="s">
        <v>157</v>
      </c>
      <c r="B69" s="1">
        <v>68</v>
      </c>
      <c r="C69" s="1" t="s">
        <v>162</v>
      </c>
      <c r="D69" s="143"/>
      <c r="E69" s="142">
        <v>20</v>
      </c>
      <c r="G69" s="1" t="s">
        <v>167</v>
      </c>
      <c r="I69" s="1" t="s">
        <v>203</v>
      </c>
    </row>
    <row r="70" spans="1:9">
      <c r="A70" t="s">
        <v>157</v>
      </c>
      <c r="B70" s="1">
        <v>69</v>
      </c>
      <c r="C70" s="1" t="s">
        <v>161</v>
      </c>
      <c r="D70" s="143"/>
      <c r="E70" s="142">
        <v>25.99</v>
      </c>
      <c r="G70" s="1" t="s">
        <v>166</v>
      </c>
      <c r="I70" s="1" t="s">
        <v>203</v>
      </c>
    </row>
    <row r="71" spans="1:9">
      <c r="A71" t="s">
        <v>157</v>
      </c>
      <c r="B71" s="1">
        <v>70</v>
      </c>
      <c r="C71" s="1" t="s">
        <v>165</v>
      </c>
      <c r="D71" s="143"/>
      <c r="E71" s="142">
        <v>128.97999999999999</v>
      </c>
      <c r="G71" s="1" t="s">
        <v>168</v>
      </c>
      <c r="I71" s="1" t="s">
        <v>205</v>
      </c>
    </row>
    <row r="72" spans="1:9">
      <c r="A72" t="s">
        <v>157</v>
      </c>
      <c r="B72" s="1">
        <v>71</v>
      </c>
      <c r="C72" s="1" t="s">
        <v>158</v>
      </c>
      <c r="D72" s="143"/>
      <c r="E72" s="142">
        <v>6.89</v>
      </c>
      <c r="G72" s="1" t="s">
        <v>98</v>
      </c>
      <c r="I72" s="1" t="s">
        <v>203</v>
      </c>
    </row>
    <row r="73" spans="1:9">
      <c r="A73" t="s">
        <v>157</v>
      </c>
      <c r="B73" s="1">
        <v>72</v>
      </c>
      <c r="C73" s="1" t="s">
        <v>158</v>
      </c>
      <c r="D73" s="143"/>
      <c r="E73" s="142">
        <v>8.4600000000000009</v>
      </c>
      <c r="G73" s="1" t="s">
        <v>98</v>
      </c>
      <c r="I73" s="1" t="s">
        <v>203</v>
      </c>
    </row>
    <row r="74" spans="1:9">
      <c r="A74" t="s">
        <v>157</v>
      </c>
      <c r="B74" s="1">
        <v>73</v>
      </c>
      <c r="C74" s="1" t="s">
        <v>158</v>
      </c>
      <c r="D74" s="143"/>
      <c r="E74" s="142">
        <v>8.4600000000000009</v>
      </c>
      <c r="G74" s="1" t="s">
        <v>98</v>
      </c>
      <c r="I74" s="1" t="s">
        <v>203</v>
      </c>
    </row>
    <row r="75" spans="1:9">
      <c r="A75" t="s">
        <v>157</v>
      </c>
      <c r="B75" s="1">
        <v>74</v>
      </c>
      <c r="C75" s="1" t="s">
        <v>162</v>
      </c>
      <c r="D75" s="143"/>
      <c r="E75" s="142">
        <v>20</v>
      </c>
      <c r="G75" s="1" t="s">
        <v>167</v>
      </c>
      <c r="I75" s="1" t="s">
        <v>203</v>
      </c>
    </row>
    <row r="76" spans="1:9">
      <c r="A76" t="s">
        <v>157</v>
      </c>
      <c r="B76" s="1">
        <v>75</v>
      </c>
      <c r="C76" s="1" t="s">
        <v>162</v>
      </c>
      <c r="D76" s="143"/>
      <c r="E76" s="142">
        <v>20</v>
      </c>
      <c r="G76" s="1" t="s">
        <v>167</v>
      </c>
      <c r="I76" s="1" t="s">
        <v>203</v>
      </c>
    </row>
    <row r="77" spans="1:9">
      <c r="A77" t="s">
        <v>157</v>
      </c>
      <c r="B77" s="1">
        <v>76</v>
      </c>
      <c r="C77" s="1" t="s">
        <v>161</v>
      </c>
      <c r="D77" s="143"/>
      <c r="E77" s="142">
        <v>25.99</v>
      </c>
      <c r="G77" s="1" t="s">
        <v>166</v>
      </c>
      <c r="I77" s="1" t="s">
        <v>203</v>
      </c>
    </row>
    <row r="78" spans="1:9">
      <c r="A78" t="s">
        <v>157</v>
      </c>
      <c r="B78" s="1">
        <v>77</v>
      </c>
      <c r="C78" s="1" t="s">
        <v>165</v>
      </c>
      <c r="D78" s="143"/>
      <c r="E78" s="142">
        <v>128.97999999999999</v>
      </c>
      <c r="G78" s="1" t="s">
        <v>168</v>
      </c>
      <c r="I78" s="1" t="s">
        <v>205</v>
      </c>
    </row>
    <row r="79" spans="1:9">
      <c r="A79" t="s">
        <v>157</v>
      </c>
      <c r="B79" s="1">
        <v>78</v>
      </c>
      <c r="C79" s="1" t="s">
        <v>158</v>
      </c>
      <c r="D79" s="143"/>
      <c r="E79" s="142">
        <v>29.42</v>
      </c>
      <c r="G79" s="1" t="s">
        <v>98</v>
      </c>
      <c r="I79" s="1" t="s">
        <v>203</v>
      </c>
    </row>
    <row r="80" spans="1:9">
      <c r="A80" t="s">
        <v>157</v>
      </c>
      <c r="B80" s="1">
        <v>79</v>
      </c>
      <c r="C80" s="1" t="s">
        <v>158</v>
      </c>
      <c r="D80" s="143"/>
      <c r="E80" s="142">
        <v>8.1999999999999993</v>
      </c>
      <c r="G80" s="1" t="s">
        <v>98</v>
      </c>
      <c r="I80" s="1" t="s">
        <v>203</v>
      </c>
    </row>
    <row r="81" spans="1:9">
      <c r="A81" t="s">
        <v>157</v>
      </c>
      <c r="B81" s="1">
        <v>80</v>
      </c>
      <c r="C81" s="1" t="s">
        <v>158</v>
      </c>
      <c r="D81" s="143"/>
      <c r="E81" s="142">
        <v>29.42</v>
      </c>
      <c r="G81" s="1" t="s">
        <v>98</v>
      </c>
      <c r="I81" s="1" t="s">
        <v>203</v>
      </c>
    </row>
    <row r="82" spans="1:9">
      <c r="A82" t="s">
        <v>157</v>
      </c>
      <c r="B82" s="1">
        <v>81</v>
      </c>
      <c r="C82" s="1" t="s">
        <v>162</v>
      </c>
      <c r="D82" s="143"/>
      <c r="E82" s="142">
        <v>20</v>
      </c>
      <c r="G82" s="1" t="s">
        <v>167</v>
      </c>
      <c r="I82" s="1" t="s">
        <v>203</v>
      </c>
    </row>
    <row r="83" spans="1:9">
      <c r="A83" t="s">
        <v>157</v>
      </c>
      <c r="B83" s="1">
        <v>82</v>
      </c>
      <c r="C83" s="1" t="s">
        <v>162</v>
      </c>
      <c r="D83" s="143"/>
      <c r="E83" s="142">
        <v>256.04000000000002</v>
      </c>
      <c r="G83" s="1" t="s">
        <v>167</v>
      </c>
      <c r="I83" s="1" t="s">
        <v>203</v>
      </c>
    </row>
    <row r="84" spans="1:9">
      <c r="A84" t="s">
        <v>157</v>
      </c>
      <c r="B84" s="1">
        <v>83</v>
      </c>
      <c r="C84" s="1" t="s">
        <v>159</v>
      </c>
      <c r="D84" s="143"/>
      <c r="E84" s="142">
        <v>927</v>
      </c>
      <c r="G84" s="1" t="s">
        <v>170</v>
      </c>
      <c r="I84" s="1" t="s">
        <v>204</v>
      </c>
    </row>
    <row r="85" spans="1:9">
      <c r="A85" t="s">
        <v>157</v>
      </c>
      <c r="B85" s="1">
        <v>84</v>
      </c>
      <c r="C85" s="1" t="s">
        <v>160</v>
      </c>
      <c r="D85" s="143"/>
      <c r="E85" s="142">
        <v>168.54</v>
      </c>
      <c r="G85" s="1" t="s">
        <v>167</v>
      </c>
      <c r="I85" s="1" t="s">
        <v>203</v>
      </c>
    </row>
    <row r="86" spans="1:9">
      <c r="A86" t="s">
        <v>157</v>
      </c>
      <c r="B86" s="1">
        <v>85</v>
      </c>
      <c r="C86" s="1" t="s">
        <v>161</v>
      </c>
      <c r="D86" s="143"/>
      <c r="E86" s="142">
        <v>25.99</v>
      </c>
      <c r="G86" s="1" t="s">
        <v>166</v>
      </c>
      <c r="I86" s="1" t="s">
        <v>203</v>
      </c>
    </row>
    <row r="87" spans="1:9">
      <c r="A87" t="s">
        <v>157</v>
      </c>
      <c r="B87" s="1">
        <v>86</v>
      </c>
      <c r="C87" s="1" t="s">
        <v>165</v>
      </c>
      <c r="D87" s="143"/>
      <c r="E87" s="142">
        <v>128.97999999999999</v>
      </c>
      <c r="F87"/>
      <c r="G87" s="1" t="s">
        <v>168</v>
      </c>
      <c r="I87" s="1" t="s">
        <v>205</v>
      </c>
    </row>
    <row r="88" spans="1:9">
      <c r="A88" t="s">
        <v>157</v>
      </c>
      <c r="B88" s="1">
        <v>87</v>
      </c>
      <c r="C88" s="1" t="s">
        <v>158</v>
      </c>
      <c r="D88" s="143"/>
      <c r="E88" s="142">
        <v>7.2</v>
      </c>
      <c r="F88"/>
      <c r="G88" s="1" t="s">
        <v>98</v>
      </c>
      <c r="I88" s="1" t="s">
        <v>203</v>
      </c>
    </row>
    <row r="89" spans="1:9">
      <c r="A89" t="s">
        <v>157</v>
      </c>
      <c r="B89" s="1">
        <v>88</v>
      </c>
      <c r="C89" s="1" t="s">
        <v>158</v>
      </c>
      <c r="D89" s="143"/>
      <c r="E89" s="142">
        <v>13.4</v>
      </c>
      <c r="F89"/>
      <c r="G89" s="1" t="s">
        <v>98</v>
      </c>
      <c r="I89" s="1" t="s">
        <v>203</v>
      </c>
    </row>
    <row r="90" spans="1:9">
      <c r="A90" t="s">
        <v>157</v>
      </c>
      <c r="B90" s="1">
        <v>89</v>
      </c>
      <c r="C90" s="1" t="s">
        <v>158</v>
      </c>
      <c r="D90" s="143"/>
      <c r="E90" s="142">
        <v>13.4</v>
      </c>
      <c r="F90"/>
      <c r="G90" s="1" t="s">
        <v>98</v>
      </c>
      <c r="I90" s="1" t="s">
        <v>203</v>
      </c>
    </row>
    <row r="91" spans="1:9">
      <c r="A91" t="s">
        <v>157</v>
      </c>
      <c r="B91" s="1">
        <v>90</v>
      </c>
      <c r="C91" s="1" t="s">
        <v>162</v>
      </c>
      <c r="D91" s="143"/>
      <c r="E91" s="142">
        <v>20</v>
      </c>
      <c r="F91"/>
      <c r="G91" s="1" t="s">
        <v>167</v>
      </c>
      <c r="I91" s="1" t="s">
        <v>203</v>
      </c>
    </row>
    <row r="92" spans="1:9">
      <c r="A92" t="s">
        <v>157</v>
      </c>
      <c r="B92" s="1">
        <v>91</v>
      </c>
      <c r="C92" s="1" t="s">
        <v>162</v>
      </c>
      <c r="D92" s="143"/>
      <c r="E92" s="142">
        <v>48.55</v>
      </c>
      <c r="F92"/>
      <c r="G92" s="1" t="s">
        <v>167</v>
      </c>
      <c r="I92" s="1" t="s">
        <v>203</v>
      </c>
    </row>
    <row r="93" spans="1:9">
      <c r="A93" t="s">
        <v>157</v>
      </c>
      <c r="B93" s="1">
        <v>92</v>
      </c>
      <c r="C93" s="1" t="s">
        <v>161</v>
      </c>
      <c r="D93" s="143"/>
      <c r="E93" s="142">
        <v>25.99</v>
      </c>
      <c r="F93"/>
      <c r="G93" s="1" t="s">
        <v>166</v>
      </c>
      <c r="I93" s="1" t="s">
        <v>203</v>
      </c>
    </row>
    <row r="94" spans="1:9">
      <c r="A94" t="s">
        <v>157</v>
      </c>
      <c r="B94" s="1">
        <v>93</v>
      </c>
      <c r="C94" s="1" t="s">
        <v>165</v>
      </c>
      <c r="D94" s="143"/>
      <c r="E94" s="142">
        <v>128.97999999999999</v>
      </c>
      <c r="F94"/>
      <c r="G94" s="1" t="s">
        <v>168</v>
      </c>
      <c r="I94" s="1" t="s">
        <v>205</v>
      </c>
    </row>
    <row r="95" spans="1:9">
      <c r="A95" t="s">
        <v>157</v>
      </c>
      <c r="B95" s="1">
        <v>94</v>
      </c>
      <c r="C95" s="1" t="s">
        <v>158</v>
      </c>
      <c r="D95" s="143"/>
      <c r="E95" s="142">
        <v>13.4</v>
      </c>
      <c r="F95"/>
      <c r="G95" s="1" t="s">
        <v>98</v>
      </c>
      <c r="I95" s="1" t="s">
        <v>203</v>
      </c>
    </row>
    <row r="96" spans="1:9">
      <c r="A96" t="s">
        <v>157</v>
      </c>
      <c r="B96" s="1">
        <v>95</v>
      </c>
      <c r="C96" s="1" t="s">
        <v>158</v>
      </c>
      <c r="D96" s="143"/>
      <c r="E96" s="142">
        <v>13.4</v>
      </c>
      <c r="F96"/>
      <c r="G96" s="1" t="s">
        <v>98</v>
      </c>
      <c r="I96" s="1" t="s">
        <v>203</v>
      </c>
    </row>
    <row r="97" spans="1:9">
      <c r="A97" t="s">
        <v>157</v>
      </c>
      <c r="B97" s="1">
        <v>96</v>
      </c>
      <c r="C97" s="1" t="s">
        <v>158</v>
      </c>
      <c r="D97" s="143"/>
      <c r="E97" s="142">
        <v>7.2</v>
      </c>
      <c r="F97"/>
      <c r="G97" s="1" t="s">
        <v>98</v>
      </c>
      <c r="I97" s="1" t="s">
        <v>203</v>
      </c>
    </row>
    <row r="98" spans="1:9">
      <c r="A98" t="s">
        <v>157</v>
      </c>
      <c r="B98" s="1">
        <v>97</v>
      </c>
      <c r="C98" s="1" t="s">
        <v>162</v>
      </c>
      <c r="D98" s="143"/>
      <c r="E98" s="142">
        <v>20</v>
      </c>
      <c r="F98"/>
      <c r="G98" s="1" t="s">
        <v>167</v>
      </c>
      <c r="I98" s="1" t="s">
        <v>203</v>
      </c>
    </row>
    <row r="99" spans="1:9">
      <c r="A99" t="s">
        <v>157</v>
      </c>
      <c r="B99" s="1">
        <v>98</v>
      </c>
      <c r="C99" s="1" t="s">
        <v>162</v>
      </c>
      <c r="D99" s="143"/>
      <c r="E99" s="142">
        <v>48.55</v>
      </c>
      <c r="F99"/>
      <c r="G99" s="1" t="s">
        <v>167</v>
      </c>
      <c r="I99" s="1" t="s">
        <v>203</v>
      </c>
    </row>
    <row r="100" spans="1:9">
      <c r="A100" s="193" t="s">
        <v>157</v>
      </c>
      <c r="B100" s="1">
        <v>99</v>
      </c>
      <c r="C100" s="9" t="s">
        <v>161</v>
      </c>
      <c r="D100" s="194"/>
      <c r="E100" s="195">
        <v>25.99</v>
      </c>
      <c r="F100" s="193"/>
      <c r="G100" s="9" t="s">
        <v>166</v>
      </c>
      <c r="H100" s="193"/>
      <c r="I100" s="9" t="s">
        <v>203</v>
      </c>
    </row>
    <row r="101" spans="1:9">
      <c r="D101" s="43"/>
      <c r="E101" s="196">
        <f>SUM(E2:E100)</f>
        <v>5655.0299999999961</v>
      </c>
      <c r="F101" s="196">
        <f>SUM(F2:F100)</f>
        <v>0</v>
      </c>
      <c r="G101"/>
    </row>
    <row r="102" spans="1:9" ht="15" thickBot="1">
      <c r="E102" s="197">
        <f>E101-F101</f>
        <v>5655.0299999999961</v>
      </c>
      <c r="F102" s="151"/>
    </row>
  </sheetData>
  <autoFilter ref="A1:I101" xr:uid="{20EB2758-AB1A-436D-AE5C-19445C1C231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0"/>
  <sheetViews>
    <sheetView showGridLines="0" zoomScale="90" zoomScaleNormal="90" workbookViewId="0">
      <selection activeCell="G20" activeCellId="1" sqref="H18 G20"/>
    </sheetView>
  </sheetViews>
  <sheetFormatPr defaultColWidth="9.1796875" defaultRowHeight="12.5"/>
  <cols>
    <col min="1" max="1" width="18.81640625" style="47" bestFit="1" customWidth="1"/>
    <col min="2" max="2" width="18.81640625" style="47" customWidth="1"/>
    <col min="3" max="5" width="9.1796875" style="59"/>
    <col min="6" max="6" width="10.453125" style="59" customWidth="1"/>
    <col min="7" max="7" width="9.7265625" style="59" customWidth="1"/>
    <col min="8" max="8" width="9.1796875" style="59"/>
    <col min="9" max="16384" width="9.1796875" style="47"/>
  </cols>
  <sheetData>
    <row r="1" spans="1:8">
      <c r="F1" s="62"/>
      <c r="G1" s="65"/>
    </row>
    <row r="2" spans="1:8" s="49" customFormat="1" ht="13">
      <c r="A2" s="49" t="s">
        <v>64</v>
      </c>
      <c r="C2" s="72" t="s">
        <v>68</v>
      </c>
      <c r="D2" s="72" t="s">
        <v>69</v>
      </c>
      <c r="E2" s="60"/>
      <c r="F2" s="69" t="s">
        <v>18</v>
      </c>
      <c r="G2" s="70" t="s">
        <v>62</v>
      </c>
      <c r="H2" s="71" t="s">
        <v>63</v>
      </c>
    </row>
    <row r="3" spans="1:8">
      <c r="A3" s="47" t="s">
        <v>56</v>
      </c>
      <c r="C3" s="73"/>
      <c r="D3" s="73"/>
      <c r="F3" s="68">
        <v>1100.3900000000001</v>
      </c>
      <c r="G3" s="65">
        <f>F3</f>
        <v>1100.3900000000001</v>
      </c>
    </row>
    <row r="4" spans="1:8">
      <c r="A4" s="47" t="s">
        <v>67</v>
      </c>
      <c r="F4" s="68">
        <v>934.82</v>
      </c>
      <c r="G4" s="65">
        <f>F4</f>
        <v>934.82</v>
      </c>
    </row>
    <row r="5" spans="1:8">
      <c r="A5" s="47" t="s">
        <v>71</v>
      </c>
      <c r="F5" s="68">
        <v>864.55</v>
      </c>
      <c r="G5" s="65">
        <f>F5</f>
        <v>864.55</v>
      </c>
    </row>
    <row r="6" spans="1:8">
      <c r="A6" s="47" t="s">
        <v>57</v>
      </c>
      <c r="F6" s="68">
        <v>80</v>
      </c>
      <c r="G6" s="65"/>
      <c r="H6" s="59">
        <f>F6</f>
        <v>80</v>
      </c>
    </row>
    <row r="7" spans="1:8">
      <c r="A7" s="47" t="s">
        <v>58</v>
      </c>
      <c r="F7" s="68">
        <v>399.6</v>
      </c>
      <c r="G7" s="65"/>
      <c r="H7" s="59">
        <f>F7</f>
        <v>399.6</v>
      </c>
    </row>
    <row r="8" spans="1:8">
      <c r="A8" s="47" t="s">
        <v>16</v>
      </c>
      <c r="F8" s="68">
        <f>(12.9+28.4)*0.9</f>
        <v>37.17</v>
      </c>
      <c r="G8" s="65">
        <f>F8</f>
        <v>37.17</v>
      </c>
    </row>
    <row r="9" spans="1:8">
      <c r="A9" s="47" t="s">
        <v>70</v>
      </c>
      <c r="C9" s="74">
        <f>0.9*34.9</f>
        <v>31.41</v>
      </c>
      <c r="D9" s="13">
        <v>4</v>
      </c>
      <c r="F9" s="68">
        <f>C9*D9</f>
        <v>125.64</v>
      </c>
      <c r="G9" s="65">
        <f>C9*2</f>
        <v>62.82</v>
      </c>
      <c r="H9" s="59">
        <f>G9</f>
        <v>62.82</v>
      </c>
    </row>
    <row r="10" spans="1:8">
      <c r="A10" s="47" t="s">
        <v>59</v>
      </c>
      <c r="C10" s="74">
        <f>0.9*16</f>
        <v>14.4</v>
      </c>
      <c r="D10" s="13">
        <v>5</v>
      </c>
      <c r="F10" s="68">
        <f>C10*D10</f>
        <v>72</v>
      </c>
      <c r="G10" s="65"/>
      <c r="H10" s="59">
        <f>F10</f>
        <v>72</v>
      </c>
    </row>
    <row r="11" spans="1:8">
      <c r="A11" s="47" t="s">
        <v>61</v>
      </c>
      <c r="C11" s="74"/>
      <c r="D11" s="13"/>
      <c r="F11" s="68">
        <f>0.9*3.6</f>
        <v>3.24</v>
      </c>
      <c r="G11" s="65">
        <f>F11</f>
        <v>3.24</v>
      </c>
    </row>
    <row r="12" spans="1:8">
      <c r="A12" s="47" t="s">
        <v>20</v>
      </c>
      <c r="C12" s="74"/>
      <c r="D12" s="13"/>
      <c r="F12" s="68">
        <f>0.9*11.9</f>
        <v>10.71</v>
      </c>
      <c r="G12" s="65">
        <f>F12</f>
        <v>10.71</v>
      </c>
    </row>
    <row r="13" spans="1:8">
      <c r="A13" s="47" t="s">
        <v>60</v>
      </c>
      <c r="C13" s="74">
        <f>0.9*19.9</f>
        <v>17.91</v>
      </c>
      <c r="D13" s="13">
        <v>4</v>
      </c>
      <c r="F13" s="68">
        <f>C13*D13</f>
        <v>71.64</v>
      </c>
      <c r="G13" s="65">
        <f>F13/2</f>
        <v>35.82</v>
      </c>
      <c r="H13" s="59">
        <f>G13</f>
        <v>35.82</v>
      </c>
    </row>
    <row r="14" spans="1:8" ht="13.5" thickBot="1">
      <c r="A14" s="58"/>
      <c r="B14" s="58"/>
      <c r="C14" s="75"/>
      <c r="D14" s="77"/>
      <c r="E14" s="61"/>
      <c r="F14" s="64">
        <f>SUM(F3:F13)</f>
        <v>3699.7599999999998</v>
      </c>
      <c r="G14" s="67">
        <f>SUM(G3:G13)</f>
        <v>3049.5200000000004</v>
      </c>
      <c r="H14" s="61">
        <f>SUM(H3:H13)</f>
        <v>650.24000000000012</v>
      </c>
    </row>
    <row r="15" spans="1:8" s="49" customFormat="1" ht="13.5" thickTop="1">
      <c r="A15" s="49" t="s">
        <v>65</v>
      </c>
      <c r="C15" s="76"/>
      <c r="D15" s="78"/>
      <c r="E15" s="60"/>
      <c r="F15" s="63"/>
      <c r="G15" s="66"/>
      <c r="H15" s="60"/>
    </row>
    <row r="16" spans="1:8">
      <c r="A16" s="47" t="s">
        <v>66</v>
      </c>
      <c r="C16" s="74">
        <f>0.9*59.9</f>
        <v>53.91</v>
      </c>
      <c r="D16" s="13">
        <v>3</v>
      </c>
      <c r="F16" s="68">
        <f>C16*D16</f>
        <v>161.72999999999999</v>
      </c>
      <c r="G16" s="65">
        <f>C16</f>
        <v>53.91</v>
      </c>
      <c r="H16" s="59">
        <f>C16*2</f>
        <v>107.82</v>
      </c>
    </row>
    <row r="17" spans="1:8">
      <c r="F17" s="62"/>
      <c r="G17" s="65"/>
    </row>
    <row r="18" spans="1:8" ht="13.5" thickBot="1">
      <c r="A18" s="58"/>
      <c r="B18" s="58"/>
      <c r="C18" s="61"/>
      <c r="D18" s="61"/>
      <c r="E18" s="61"/>
      <c r="F18" s="64">
        <f>SUM(F14:F17)</f>
        <v>3861.49</v>
      </c>
      <c r="G18" s="67">
        <f>SUM(G14:G17)</f>
        <v>3103.4300000000003</v>
      </c>
      <c r="H18" s="61">
        <f>SUM(H14:H17)</f>
        <v>758.06000000000017</v>
      </c>
    </row>
    <row r="19" spans="1:8" ht="13" thickTop="1"/>
    <row r="20" spans="1:8" ht="13">
      <c r="G20" s="81">
        <v>2528.6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7CC3-C975-4A85-AFDC-DA040D75A5C7}">
  <sheetPr>
    <tabColor rgb="FFFFFF00"/>
  </sheetPr>
  <dimension ref="A1:AJ45"/>
  <sheetViews>
    <sheetView showGridLines="0" tabSelected="1" workbookViewId="0">
      <selection activeCell="M32" sqref="M32"/>
    </sheetView>
  </sheetViews>
  <sheetFormatPr defaultColWidth="9.1796875" defaultRowHeight="11.5"/>
  <cols>
    <col min="1" max="1" width="16.453125" style="1" bestFit="1" customWidth="1"/>
    <col min="2" max="2" width="16" style="1" customWidth="1"/>
    <col min="3" max="3" width="15.7265625" style="43" customWidth="1"/>
    <col min="4" max="4" width="7.26953125" style="57" customWidth="1"/>
    <col min="5" max="5" width="13.26953125" style="1" customWidth="1"/>
    <col min="6" max="6" width="9.1796875" style="1" customWidth="1"/>
    <col min="7" max="7" width="8.26953125" style="1" customWidth="1"/>
    <col min="8" max="8" width="10.36328125" style="1" customWidth="1"/>
    <col min="9" max="9" width="8.7265625" style="1" customWidth="1"/>
    <col min="10" max="10" width="10.36328125" style="1" customWidth="1"/>
    <col min="11" max="31" width="8.7265625" style="1" customWidth="1"/>
    <col min="32" max="32" width="11" style="2" bestFit="1" customWidth="1"/>
    <col min="33" max="16384" width="9.1796875" style="1"/>
  </cols>
  <sheetData>
    <row r="1" spans="1:36">
      <c r="A1" s="1" t="s">
        <v>179</v>
      </c>
      <c r="B1" s="1" t="s">
        <v>154</v>
      </c>
      <c r="C1" s="43" t="s">
        <v>178</v>
      </c>
      <c r="D1" s="57" t="s">
        <v>177</v>
      </c>
      <c r="E1" s="57" t="s">
        <v>176</v>
      </c>
      <c r="F1" s="144" t="s">
        <v>324</v>
      </c>
      <c r="G1" s="146" t="s">
        <v>180</v>
      </c>
      <c r="H1" s="146" t="s">
        <v>181</v>
      </c>
      <c r="I1" s="146" t="s">
        <v>182</v>
      </c>
      <c r="J1" s="146" t="s">
        <v>183</v>
      </c>
      <c r="K1" s="146" t="s">
        <v>184</v>
      </c>
      <c r="L1" s="146" t="s">
        <v>185</v>
      </c>
      <c r="M1" s="146" t="s">
        <v>186</v>
      </c>
      <c r="N1" s="146" t="s">
        <v>187</v>
      </c>
      <c r="O1" s="146" t="s">
        <v>188</v>
      </c>
      <c r="P1" s="146" t="s">
        <v>189</v>
      </c>
      <c r="Q1" s="146" t="s">
        <v>190</v>
      </c>
      <c r="R1" s="146" t="s">
        <v>191</v>
      </c>
      <c r="S1" s="146" t="s">
        <v>192</v>
      </c>
      <c r="T1" s="146" t="s">
        <v>193</v>
      </c>
      <c r="U1" s="146" t="s">
        <v>194</v>
      </c>
      <c r="V1" s="146" t="s">
        <v>195</v>
      </c>
      <c r="W1" s="146" t="s">
        <v>196</v>
      </c>
      <c r="X1" s="146" t="s">
        <v>197</v>
      </c>
      <c r="Y1" s="146" t="s">
        <v>198</v>
      </c>
      <c r="Z1" s="146" t="s">
        <v>199</v>
      </c>
      <c r="AA1" s="146" t="s">
        <v>200</v>
      </c>
      <c r="AB1" s="146" t="s">
        <v>201</v>
      </c>
      <c r="AC1" s="146" t="s">
        <v>325</v>
      </c>
      <c r="AD1" s="146" t="s">
        <v>326</v>
      </c>
      <c r="AE1" s="146" t="s">
        <v>327</v>
      </c>
      <c r="AF1" s="1"/>
    </row>
    <row r="2" spans="1:36">
      <c r="A2" s="1" t="s">
        <v>171</v>
      </c>
      <c r="B2" s="1" t="s">
        <v>173</v>
      </c>
      <c r="C2" s="227"/>
      <c r="D2" s="229">
        <v>10</v>
      </c>
      <c r="E2" s="230">
        <v>44197</v>
      </c>
      <c r="F2" s="3">
        <v>0</v>
      </c>
      <c r="G2" s="3">
        <f>$C$2/$D$2</f>
        <v>0</v>
      </c>
      <c r="H2" s="3">
        <f t="shared" ref="H2:P2" si="0">$C$2/$D$2</f>
        <v>0</v>
      </c>
      <c r="I2" s="3">
        <f t="shared" si="0"/>
        <v>0</v>
      </c>
      <c r="J2" s="3">
        <f t="shared" si="0"/>
        <v>0</v>
      </c>
      <c r="K2" s="3">
        <f t="shared" si="0"/>
        <v>0</v>
      </c>
      <c r="L2" s="3">
        <f t="shared" si="0"/>
        <v>0</v>
      </c>
      <c r="M2" s="3">
        <f t="shared" si="0"/>
        <v>0</v>
      </c>
      <c r="N2" s="3">
        <f t="shared" si="0"/>
        <v>0</v>
      </c>
      <c r="O2" s="3">
        <f t="shared" si="0"/>
        <v>0</v>
      </c>
      <c r="P2" s="3">
        <f t="shared" si="0"/>
        <v>0</v>
      </c>
      <c r="Q2" s="3">
        <v>0</v>
      </c>
      <c r="R2" s="3">
        <v>0</v>
      </c>
      <c r="S2" s="3">
        <v>0</v>
      </c>
      <c r="T2" s="3">
        <v>0</v>
      </c>
      <c r="U2" s="3">
        <v>0</v>
      </c>
      <c r="V2" s="3">
        <v>0</v>
      </c>
      <c r="W2" s="3">
        <v>0</v>
      </c>
      <c r="X2" s="3">
        <v>0</v>
      </c>
      <c r="Y2" s="3">
        <v>0</v>
      </c>
      <c r="Z2" s="3">
        <v>0</v>
      </c>
      <c r="AA2" s="3">
        <v>0</v>
      </c>
      <c r="AB2" s="3">
        <v>0</v>
      </c>
      <c r="AC2" s="3">
        <v>0</v>
      </c>
      <c r="AD2" s="3">
        <v>0</v>
      </c>
      <c r="AE2" s="3">
        <v>0</v>
      </c>
      <c r="AF2" s="46">
        <f>SUM(G2:AE2)</f>
        <v>0</v>
      </c>
    </row>
    <row r="3" spans="1:36">
      <c r="A3" s="1" t="s">
        <v>172</v>
      </c>
      <c r="B3" s="1" t="s">
        <v>173</v>
      </c>
      <c r="C3" s="227"/>
      <c r="D3" s="229">
        <v>10</v>
      </c>
      <c r="E3" s="230">
        <v>44197</v>
      </c>
      <c r="F3" s="3">
        <v>0</v>
      </c>
      <c r="G3" s="3">
        <f>$C$3/$D$3</f>
        <v>0</v>
      </c>
      <c r="H3" s="3">
        <f t="shared" ref="H3:P3" si="1">$C$3/$D$3</f>
        <v>0</v>
      </c>
      <c r="I3" s="3">
        <f t="shared" si="1"/>
        <v>0</v>
      </c>
      <c r="J3" s="3">
        <f t="shared" si="1"/>
        <v>0</v>
      </c>
      <c r="K3" s="3">
        <f t="shared" si="1"/>
        <v>0</v>
      </c>
      <c r="L3" s="3">
        <f t="shared" si="1"/>
        <v>0</v>
      </c>
      <c r="M3" s="3">
        <f t="shared" si="1"/>
        <v>0</v>
      </c>
      <c r="N3" s="3">
        <f t="shared" si="1"/>
        <v>0</v>
      </c>
      <c r="O3" s="3">
        <f t="shared" si="1"/>
        <v>0</v>
      </c>
      <c r="P3" s="3">
        <f t="shared" si="1"/>
        <v>0</v>
      </c>
      <c r="Q3" s="3">
        <v>0</v>
      </c>
      <c r="R3" s="3">
        <v>0</v>
      </c>
      <c r="S3" s="3">
        <v>0</v>
      </c>
      <c r="T3" s="3">
        <v>0</v>
      </c>
      <c r="U3" s="3">
        <v>0</v>
      </c>
      <c r="V3" s="3">
        <v>0</v>
      </c>
      <c r="W3" s="3">
        <v>0</v>
      </c>
      <c r="X3" s="3">
        <v>0</v>
      </c>
      <c r="Y3" s="3">
        <v>0</v>
      </c>
      <c r="Z3" s="3">
        <v>0</v>
      </c>
      <c r="AA3" s="3">
        <v>0</v>
      </c>
      <c r="AB3" s="3">
        <v>0</v>
      </c>
      <c r="AC3" s="3">
        <v>0</v>
      </c>
      <c r="AD3" s="3">
        <v>0</v>
      </c>
      <c r="AE3" s="3">
        <v>0</v>
      </c>
      <c r="AF3" s="46">
        <f>SUM(F3:AE3)</f>
        <v>0</v>
      </c>
    </row>
    <row r="4" spans="1:36">
      <c r="A4" s="1" t="s">
        <v>175</v>
      </c>
      <c r="B4" s="1" t="s">
        <v>155</v>
      </c>
      <c r="C4" s="227"/>
      <c r="D4" s="229">
        <v>25</v>
      </c>
      <c r="E4" s="230">
        <v>44117</v>
      </c>
      <c r="F4" s="3">
        <f>C4/D4/360*(F1-E4)</f>
        <v>0</v>
      </c>
      <c r="G4" s="3">
        <f>$C$4/$D$4</f>
        <v>0</v>
      </c>
      <c r="H4" s="3">
        <f t="shared" ref="H4:AD4" si="2">$C$4/$D$4</f>
        <v>0</v>
      </c>
      <c r="I4" s="3">
        <f t="shared" si="2"/>
        <v>0</v>
      </c>
      <c r="J4" s="3">
        <f t="shared" si="2"/>
        <v>0</v>
      </c>
      <c r="K4" s="3">
        <f t="shared" si="2"/>
        <v>0</v>
      </c>
      <c r="L4" s="3">
        <f t="shared" si="2"/>
        <v>0</v>
      </c>
      <c r="M4" s="3">
        <f t="shared" si="2"/>
        <v>0</v>
      </c>
      <c r="N4" s="3">
        <f t="shared" si="2"/>
        <v>0</v>
      </c>
      <c r="O4" s="3">
        <f t="shared" si="2"/>
        <v>0</v>
      </c>
      <c r="P4" s="3">
        <f t="shared" si="2"/>
        <v>0</v>
      </c>
      <c r="Q4" s="3">
        <f t="shared" si="2"/>
        <v>0</v>
      </c>
      <c r="R4" s="3">
        <f t="shared" si="2"/>
        <v>0</v>
      </c>
      <c r="S4" s="3">
        <f t="shared" si="2"/>
        <v>0</v>
      </c>
      <c r="T4" s="3">
        <f t="shared" si="2"/>
        <v>0</v>
      </c>
      <c r="U4" s="3">
        <f t="shared" si="2"/>
        <v>0</v>
      </c>
      <c r="V4" s="3">
        <f t="shared" si="2"/>
        <v>0</v>
      </c>
      <c r="W4" s="3">
        <f t="shared" si="2"/>
        <v>0</v>
      </c>
      <c r="X4" s="3">
        <f t="shared" si="2"/>
        <v>0</v>
      </c>
      <c r="Y4" s="3">
        <f t="shared" si="2"/>
        <v>0</v>
      </c>
      <c r="Z4" s="3">
        <f t="shared" si="2"/>
        <v>0</v>
      </c>
      <c r="AA4" s="3">
        <f t="shared" si="2"/>
        <v>0</v>
      </c>
      <c r="AB4" s="3">
        <f t="shared" si="2"/>
        <v>0</v>
      </c>
      <c r="AC4" s="3">
        <f t="shared" si="2"/>
        <v>0</v>
      </c>
      <c r="AD4" s="3">
        <f t="shared" si="2"/>
        <v>0</v>
      </c>
      <c r="AE4" s="3">
        <f>$C$4/$D$4-F4</f>
        <v>0</v>
      </c>
      <c r="AF4" s="46">
        <f>SUM(F4:AE4)</f>
        <v>0</v>
      </c>
    </row>
    <row r="5" spans="1:36">
      <c r="A5" s="1" t="s">
        <v>175</v>
      </c>
      <c r="B5" s="1" t="s">
        <v>174</v>
      </c>
      <c r="C5" s="227"/>
      <c r="D5" s="229">
        <v>25</v>
      </c>
      <c r="E5" s="230">
        <v>44117</v>
      </c>
      <c r="F5" s="21">
        <f>C5/D5/360*(F1-E5)</f>
        <v>0</v>
      </c>
      <c r="G5" s="21">
        <f>$C$5/$D$5</f>
        <v>0</v>
      </c>
      <c r="H5" s="21">
        <f t="shared" ref="H5:AD5" si="3">$C$5/$D$5</f>
        <v>0</v>
      </c>
      <c r="I5" s="21">
        <f t="shared" si="3"/>
        <v>0</v>
      </c>
      <c r="J5" s="21">
        <f t="shared" si="3"/>
        <v>0</v>
      </c>
      <c r="K5" s="21">
        <f t="shared" si="3"/>
        <v>0</v>
      </c>
      <c r="L5" s="21">
        <f t="shared" si="3"/>
        <v>0</v>
      </c>
      <c r="M5" s="21">
        <f t="shared" si="3"/>
        <v>0</v>
      </c>
      <c r="N5" s="21">
        <f t="shared" si="3"/>
        <v>0</v>
      </c>
      <c r="O5" s="21">
        <f t="shared" si="3"/>
        <v>0</v>
      </c>
      <c r="P5" s="21">
        <f t="shared" si="3"/>
        <v>0</v>
      </c>
      <c r="Q5" s="21">
        <f t="shared" si="3"/>
        <v>0</v>
      </c>
      <c r="R5" s="21">
        <f t="shared" si="3"/>
        <v>0</v>
      </c>
      <c r="S5" s="21">
        <f t="shared" si="3"/>
        <v>0</v>
      </c>
      <c r="T5" s="21">
        <f t="shared" si="3"/>
        <v>0</v>
      </c>
      <c r="U5" s="21">
        <f t="shared" si="3"/>
        <v>0</v>
      </c>
      <c r="V5" s="21">
        <f t="shared" si="3"/>
        <v>0</v>
      </c>
      <c r="W5" s="21">
        <f t="shared" si="3"/>
        <v>0</v>
      </c>
      <c r="X5" s="21">
        <f t="shared" si="3"/>
        <v>0</v>
      </c>
      <c r="Y5" s="21">
        <f t="shared" si="3"/>
        <v>0</v>
      </c>
      <c r="Z5" s="21">
        <f t="shared" si="3"/>
        <v>0</v>
      </c>
      <c r="AA5" s="21">
        <f t="shared" si="3"/>
        <v>0</v>
      </c>
      <c r="AB5" s="21">
        <f t="shared" si="3"/>
        <v>0</v>
      </c>
      <c r="AC5" s="21">
        <f t="shared" si="3"/>
        <v>0</v>
      </c>
      <c r="AD5" s="21">
        <f t="shared" si="3"/>
        <v>0</v>
      </c>
      <c r="AE5" s="21">
        <f>$C$5/$D$5-F5</f>
        <v>0</v>
      </c>
      <c r="AF5" s="145">
        <f>SUM(F5:AE5)</f>
        <v>0</v>
      </c>
    </row>
    <row r="6" spans="1:36">
      <c r="C6" s="76">
        <f>SUM(C2:C5)</f>
        <v>0</v>
      </c>
      <c r="E6" s="150"/>
      <c r="F6" s="46">
        <f>SUM(F2:F5)</f>
        <v>0</v>
      </c>
      <c r="G6" s="46">
        <f>SUM(G2:G5)</f>
        <v>0</v>
      </c>
      <c r="H6" s="46">
        <f t="shared" ref="H6:T6" si="4">SUM(H2:H5)</f>
        <v>0</v>
      </c>
      <c r="I6" s="46">
        <f t="shared" si="4"/>
        <v>0</v>
      </c>
      <c r="J6" s="46">
        <f t="shared" si="4"/>
        <v>0</v>
      </c>
      <c r="K6" s="46">
        <f t="shared" si="4"/>
        <v>0</v>
      </c>
      <c r="L6" s="46">
        <f t="shared" si="4"/>
        <v>0</v>
      </c>
      <c r="M6" s="46">
        <f t="shared" si="4"/>
        <v>0</v>
      </c>
      <c r="N6" s="46">
        <f t="shared" si="4"/>
        <v>0</v>
      </c>
      <c r="O6" s="46">
        <f t="shared" si="4"/>
        <v>0</v>
      </c>
      <c r="P6" s="46">
        <f t="shared" si="4"/>
        <v>0</v>
      </c>
      <c r="Q6" s="46">
        <f t="shared" si="4"/>
        <v>0</v>
      </c>
      <c r="R6" s="46">
        <f t="shared" si="4"/>
        <v>0</v>
      </c>
      <c r="S6" s="46">
        <f t="shared" si="4"/>
        <v>0</v>
      </c>
      <c r="T6" s="46">
        <f t="shared" si="4"/>
        <v>0</v>
      </c>
      <c r="U6" s="46">
        <f t="shared" ref="U6:AF6" si="5">SUM(U2:U5)</f>
        <v>0</v>
      </c>
      <c r="V6" s="46">
        <f t="shared" si="5"/>
        <v>0</v>
      </c>
      <c r="W6" s="46">
        <f t="shared" si="5"/>
        <v>0</v>
      </c>
      <c r="X6" s="46">
        <f t="shared" si="5"/>
        <v>0</v>
      </c>
      <c r="Y6" s="46">
        <f t="shared" si="5"/>
        <v>0</v>
      </c>
      <c r="Z6" s="46">
        <f t="shared" si="5"/>
        <v>0</v>
      </c>
      <c r="AA6" s="46">
        <f t="shared" si="5"/>
        <v>0</v>
      </c>
      <c r="AB6" s="46">
        <f t="shared" si="5"/>
        <v>0</v>
      </c>
      <c r="AC6" s="46">
        <f t="shared" si="5"/>
        <v>0</v>
      </c>
      <c r="AD6" s="46">
        <f t="shared" si="5"/>
        <v>0</v>
      </c>
      <c r="AE6" s="46">
        <f t="shared" si="5"/>
        <v>0</v>
      </c>
      <c r="AF6" s="46">
        <f t="shared" si="5"/>
        <v>0</v>
      </c>
    </row>
    <row r="7" spans="1:36">
      <c r="F7" s="3"/>
      <c r="G7" s="3"/>
      <c r="H7" s="3"/>
      <c r="I7" s="3"/>
      <c r="J7" s="3"/>
      <c r="K7" s="3"/>
      <c r="L7" s="3"/>
      <c r="M7" s="3"/>
      <c r="N7" s="3"/>
      <c r="O7" s="3"/>
      <c r="P7" s="3"/>
      <c r="Q7" s="3"/>
      <c r="R7" s="3"/>
      <c r="S7" s="3"/>
      <c r="T7" s="3"/>
      <c r="U7" s="3"/>
      <c r="V7" s="3"/>
      <c r="W7" s="3"/>
      <c r="X7" s="3"/>
      <c r="Y7" s="3"/>
      <c r="Z7" s="3"/>
      <c r="AA7" s="3"/>
      <c r="AB7" s="3"/>
      <c r="AC7" s="3"/>
      <c r="AD7" s="3"/>
      <c r="AE7" s="3"/>
      <c r="AF7" s="46"/>
    </row>
    <row r="8" spans="1:36">
      <c r="F8" s="3"/>
      <c r="G8" s="3"/>
      <c r="H8" s="3"/>
      <c r="I8" s="3"/>
      <c r="J8" s="3"/>
      <c r="K8" s="3"/>
      <c r="L8" s="3"/>
      <c r="M8" s="3"/>
      <c r="N8" s="3"/>
      <c r="O8" s="3"/>
      <c r="P8" s="3"/>
      <c r="Q8" s="3"/>
      <c r="R8" s="3"/>
      <c r="S8" s="3"/>
      <c r="T8" s="3"/>
      <c r="U8" s="3"/>
      <c r="V8" s="3"/>
    </row>
    <row r="9" spans="1:36">
      <c r="C9" s="1"/>
      <c r="D9" s="1"/>
      <c r="G9" s="43"/>
      <c r="H9" s="57"/>
      <c r="J9" s="3"/>
      <c r="K9" s="3"/>
      <c r="L9" s="3"/>
      <c r="M9" s="3"/>
      <c r="N9" s="3"/>
      <c r="O9" s="3"/>
      <c r="P9" s="3"/>
      <c r="Q9" s="3"/>
      <c r="R9" s="3"/>
      <c r="S9" s="3"/>
      <c r="T9" s="3"/>
      <c r="U9" s="3"/>
      <c r="V9" s="3"/>
      <c r="W9" s="3"/>
      <c r="X9" s="3"/>
      <c r="Y9" s="3"/>
      <c r="Z9" s="3"/>
      <c r="AF9" s="1"/>
      <c r="AJ9" s="2"/>
    </row>
    <row r="10" spans="1:36">
      <c r="C10" s="1"/>
      <c r="D10" s="1"/>
      <c r="G10" s="43"/>
      <c r="H10" s="57"/>
      <c r="AF10" s="1"/>
      <c r="AJ10" s="2"/>
    </row>
    <row r="11" spans="1:36">
      <c r="C11" s="1"/>
      <c r="D11" s="1"/>
      <c r="F11" s="203" t="s">
        <v>212</v>
      </c>
      <c r="G11" s="203"/>
      <c r="H11" s="7"/>
      <c r="I11" s="203" t="s">
        <v>211</v>
      </c>
      <c r="J11" s="203"/>
      <c r="K11" s="203"/>
      <c r="S11" s="162" t="s">
        <v>234</v>
      </c>
      <c r="AF11" s="1"/>
      <c r="AJ11" s="2"/>
    </row>
    <row r="12" spans="1:36">
      <c r="C12" s="1"/>
      <c r="D12" s="1"/>
      <c r="E12" s="25"/>
      <c r="F12" s="57" t="s">
        <v>214</v>
      </c>
      <c r="G12" s="147" t="s">
        <v>215</v>
      </c>
      <c r="H12" s="57"/>
      <c r="I12" s="57" t="s">
        <v>217</v>
      </c>
      <c r="J12" s="57" t="s">
        <v>216</v>
      </c>
      <c r="K12" s="147" t="s">
        <v>215</v>
      </c>
      <c r="S12" s="148">
        <v>2031</v>
      </c>
      <c r="T12" s="18"/>
      <c r="U12" s="1" t="s">
        <v>240</v>
      </c>
      <c r="Z12" s="1" t="s">
        <v>322</v>
      </c>
      <c r="AF12" s="1"/>
      <c r="AJ12" s="2"/>
    </row>
    <row r="13" spans="1:36" ht="12" customHeight="1">
      <c r="A13" s="1" t="s">
        <v>0</v>
      </c>
      <c r="C13" s="1"/>
      <c r="D13" s="1">
        <v>10</v>
      </c>
      <c r="E13" s="204">
        <f>SUM(C2:C3)</f>
        <v>0</v>
      </c>
      <c r="F13" s="204"/>
      <c r="G13" s="43" t="s">
        <v>213</v>
      </c>
      <c r="H13" s="149"/>
      <c r="I13" s="12">
        <f>SUM(F2:G3)</f>
        <v>0</v>
      </c>
      <c r="J13" s="12">
        <f>SUM(H2:P3)</f>
        <v>0</v>
      </c>
      <c r="K13" s="43" t="s">
        <v>248</v>
      </c>
      <c r="L13" s="25"/>
      <c r="T13" s="18"/>
      <c r="U13" s="1" t="s">
        <v>241</v>
      </c>
      <c r="AF13" s="1"/>
      <c r="AJ13" s="2"/>
    </row>
    <row r="14" spans="1:36" ht="12" customHeight="1">
      <c r="A14" s="1" t="s">
        <v>174</v>
      </c>
      <c r="C14" s="1"/>
      <c r="D14" s="1">
        <v>25</v>
      </c>
      <c r="E14" s="204">
        <f>SUM(C4:C5)</f>
        <v>0</v>
      </c>
      <c r="F14" s="204"/>
      <c r="G14" s="43" t="s">
        <v>213</v>
      </c>
      <c r="H14" s="149"/>
      <c r="I14" s="12">
        <f>SUM(F4:G5)</f>
        <v>0</v>
      </c>
      <c r="J14" s="12">
        <f>SUM(H4:AE5)</f>
        <v>0</v>
      </c>
      <c r="K14" s="43" t="s">
        <v>248</v>
      </c>
      <c r="L14" s="25"/>
      <c r="AF14" s="1"/>
      <c r="AJ14" s="2"/>
    </row>
    <row r="15" spans="1:36">
      <c r="A15" s="2"/>
      <c r="B15" s="2"/>
      <c r="C15" s="2"/>
      <c r="D15" s="2"/>
      <c r="E15" s="2"/>
      <c r="F15" s="16">
        <f>SUM(E13:F14)</f>
        <v>0</v>
      </c>
      <c r="G15" s="151"/>
      <c r="H15" s="7"/>
      <c r="I15" s="16">
        <f>SUM(I13:I14)</f>
        <v>0</v>
      </c>
      <c r="J15" s="16">
        <f>SUM(J13:J14)</f>
        <v>0</v>
      </c>
      <c r="K15" s="25"/>
      <c r="L15" s="25"/>
      <c r="AF15" s="1"/>
      <c r="AJ15" s="2"/>
    </row>
    <row r="16" spans="1:36">
      <c r="C16" s="1"/>
      <c r="D16" s="1"/>
      <c r="E16" s="25"/>
      <c r="F16" s="25"/>
      <c r="G16" s="26"/>
      <c r="H16" s="149"/>
      <c r="I16" s="25"/>
      <c r="J16" s="25"/>
      <c r="K16" s="25"/>
      <c r="L16" s="25"/>
      <c r="S16" s="148" t="s">
        <v>236</v>
      </c>
      <c r="T16" s="18"/>
      <c r="U16" s="1" t="s">
        <v>243</v>
      </c>
      <c r="V16" s="1" t="s">
        <v>242</v>
      </c>
      <c r="Z16" s="1" t="s">
        <v>322</v>
      </c>
      <c r="AF16" s="1"/>
      <c r="AJ16" s="2"/>
    </row>
    <row r="17" spans="1:36">
      <c r="C17" s="1"/>
      <c r="D17" s="1"/>
      <c r="E17" s="25"/>
      <c r="F17" s="25"/>
      <c r="G17" s="26"/>
      <c r="H17" s="149"/>
      <c r="I17" s="25"/>
      <c r="J17" s="25"/>
      <c r="K17" s="25"/>
      <c r="L17" s="25"/>
      <c r="T17" s="18"/>
      <c r="U17" s="1" t="s">
        <v>209</v>
      </c>
      <c r="V17" s="1" t="s">
        <v>53</v>
      </c>
      <c r="AF17" s="1"/>
      <c r="AJ17" s="2"/>
    </row>
    <row r="18" spans="1:36">
      <c r="E18" s="46"/>
      <c r="F18" s="25"/>
      <c r="G18" s="25"/>
      <c r="H18" s="25"/>
      <c r="I18" s="25"/>
      <c r="J18" s="25"/>
      <c r="K18" s="25"/>
      <c r="L18" s="25"/>
      <c r="T18" s="18"/>
      <c r="U18" s="1" t="s">
        <v>244</v>
      </c>
      <c r="V18" s="1" t="s">
        <v>212</v>
      </c>
    </row>
    <row r="19" spans="1:36">
      <c r="E19" s="46"/>
      <c r="F19" s="25"/>
      <c r="G19" s="25"/>
      <c r="H19" s="25"/>
      <c r="I19" s="25"/>
      <c r="J19" s="25"/>
      <c r="K19" s="25"/>
      <c r="L19" s="25"/>
    </row>
    <row r="20" spans="1:36">
      <c r="A20" s="154" t="s">
        <v>218</v>
      </c>
      <c r="B20" s="156"/>
      <c r="C20" s="157"/>
      <c r="D20" s="155"/>
      <c r="E20" s="158">
        <f>SUM(C6)</f>
        <v>0</v>
      </c>
      <c r="F20" s="25"/>
      <c r="G20" s="25"/>
      <c r="H20" s="25"/>
      <c r="I20" s="25"/>
      <c r="J20" s="25"/>
      <c r="K20" s="25"/>
      <c r="L20" s="25"/>
    </row>
    <row r="21" spans="1:36">
      <c r="C21" s="48"/>
      <c r="E21" s="46"/>
      <c r="S21" s="148" t="s">
        <v>235</v>
      </c>
      <c r="T21" s="18"/>
      <c r="U21" s="1" t="s">
        <v>237</v>
      </c>
    </row>
    <row r="22" spans="1:36">
      <c r="A22" s="152" t="s">
        <v>219</v>
      </c>
      <c r="B22" s="153"/>
      <c r="C22" s="154" t="s">
        <v>211</v>
      </c>
      <c r="D22" s="155"/>
      <c r="E22" s="158">
        <f>SUM(F6:G6)</f>
        <v>0</v>
      </c>
      <c r="S22" s="148"/>
      <c r="T22" s="18"/>
      <c r="U22" s="1" t="s">
        <v>238</v>
      </c>
    </row>
    <row r="23" spans="1:36">
      <c r="C23" s="48"/>
      <c r="E23" s="46"/>
      <c r="T23" s="18"/>
      <c r="U23" s="198" t="s">
        <v>239</v>
      </c>
      <c r="V23" s="198"/>
      <c r="W23" s="198"/>
    </row>
    <row r="24" spans="1:36">
      <c r="A24" s="152" t="s">
        <v>202</v>
      </c>
      <c r="B24" s="153"/>
      <c r="C24" s="152" t="s">
        <v>210</v>
      </c>
      <c r="D24" s="155"/>
      <c r="E24" s="228" t="s">
        <v>323</v>
      </c>
    </row>
    <row r="25" spans="1:36">
      <c r="A25" s="152" t="s">
        <v>203</v>
      </c>
      <c r="B25" s="153"/>
      <c r="C25" s="152" t="s">
        <v>207</v>
      </c>
      <c r="D25" s="155"/>
      <c r="E25" s="158">
        <f>-SUMIF('Journal Achat'!I:I,'2042 C-PRO'!A25,'Journal Achat'!E:E)+SUMIF('Journal Achat'!I:I,'2042 C-PRO'!A25,'Journal Achat'!F:F)</f>
        <v>-2885.91</v>
      </c>
    </row>
    <row r="26" spans="1:36">
      <c r="A26" s="152" t="s">
        <v>204</v>
      </c>
      <c r="B26" s="153"/>
      <c r="C26" s="152" t="s">
        <v>156</v>
      </c>
      <c r="D26" s="155"/>
      <c r="E26" s="158">
        <f>-SUMIF('Journal Achat'!I:I,'2042 C-PRO'!A26,'Journal Achat'!E:E)+SUMIF('Journal Achat'!I:I,'2042 C-PRO'!A26,'Journal Achat'!F:F)</f>
        <v>-927</v>
      </c>
    </row>
    <row r="27" spans="1:36">
      <c r="A27" s="152" t="s">
        <v>205</v>
      </c>
      <c r="B27" s="153"/>
      <c r="C27" s="152" t="s">
        <v>206</v>
      </c>
      <c r="D27" s="155"/>
      <c r="E27" s="158">
        <f>-SUMIF('Journal Achat'!I:I,'2042 C-PRO'!A27,'Journal Achat'!E:E)+SUMIF('Journal Achat'!I:I,'2042 C-PRO'!A27,'Journal Achat'!F:F)</f>
        <v>-1842.1200000000001</v>
      </c>
    </row>
    <row r="28" spans="1:36">
      <c r="E28" s="46"/>
    </row>
    <row r="29" spans="1:36">
      <c r="A29" s="152"/>
      <c r="B29" s="153"/>
      <c r="C29" s="152" t="s">
        <v>220</v>
      </c>
      <c r="D29" s="155"/>
      <c r="E29" s="158">
        <f>SUM(E24:E28)</f>
        <v>-5655.03</v>
      </c>
    </row>
    <row r="30" spans="1:36">
      <c r="A30" s="152" t="s">
        <v>245</v>
      </c>
      <c r="B30" s="153"/>
      <c r="C30" s="152" t="s">
        <v>221</v>
      </c>
      <c r="D30" s="155"/>
      <c r="E30" s="199">
        <f>SUM(E22,E29)</f>
        <v>-5655.03</v>
      </c>
    </row>
    <row r="31" spans="1:36">
      <c r="E31" s="46"/>
    </row>
    <row r="33" spans="1:33">
      <c r="C33" s="1"/>
      <c r="D33" s="43"/>
      <c r="E33" s="57"/>
      <c r="AF33" s="1"/>
      <c r="AG33" s="2"/>
    </row>
    <row r="34" spans="1:33">
      <c r="B34" s="43"/>
      <c r="D34" s="7"/>
      <c r="E34" s="7" t="s">
        <v>232</v>
      </c>
      <c r="F34" s="2"/>
      <c r="G34" s="202" t="s">
        <v>211</v>
      </c>
      <c r="H34" s="202"/>
      <c r="I34" s="159"/>
      <c r="J34" s="7" t="s">
        <v>93</v>
      </c>
    </row>
    <row r="35" spans="1:33">
      <c r="A35" s="2" t="s">
        <v>222</v>
      </c>
      <c r="B35" s="43"/>
      <c r="D35" s="5"/>
    </row>
    <row r="36" spans="1:33">
      <c r="A36" s="1" t="s">
        <v>224</v>
      </c>
      <c r="B36" s="43"/>
      <c r="D36" s="5" t="s">
        <v>229</v>
      </c>
      <c r="E36" s="21">
        <f>C6</f>
        <v>0</v>
      </c>
      <c r="F36" s="19"/>
      <c r="G36" s="161" t="s">
        <v>233</v>
      </c>
      <c r="H36" s="20">
        <f>F6+G6</f>
        <v>0</v>
      </c>
      <c r="I36" s="19"/>
      <c r="J36" s="20">
        <f>J15</f>
        <v>0</v>
      </c>
      <c r="K36" s="19"/>
    </row>
    <row r="37" spans="1:33">
      <c r="A37" s="1" t="s">
        <v>225</v>
      </c>
      <c r="B37" s="43"/>
      <c r="D37" s="10" t="s">
        <v>231</v>
      </c>
      <c r="E37" s="22">
        <f>E29</f>
        <v>-5655.03</v>
      </c>
      <c r="F37" s="19"/>
      <c r="G37" s="9"/>
      <c r="H37" s="9"/>
      <c r="I37" s="19"/>
      <c r="J37" s="9"/>
      <c r="K37" s="19"/>
    </row>
    <row r="38" spans="1:33">
      <c r="A38" s="2"/>
      <c r="B38" s="151"/>
      <c r="C38" s="151"/>
      <c r="D38" s="160"/>
      <c r="E38" s="14">
        <f>SUM(E36:E37)</f>
        <v>-5655.03</v>
      </c>
      <c r="F38" s="14"/>
      <c r="G38" s="14"/>
      <c r="H38" s="14">
        <f>SUM(H36:H37)</f>
        <v>0</v>
      </c>
      <c r="I38" s="17"/>
      <c r="J38" s="14">
        <f>SUM(J36:J37)</f>
        <v>0</v>
      </c>
      <c r="K38" s="19"/>
    </row>
    <row r="39" spans="1:33">
      <c r="A39" s="2"/>
      <c r="B39" s="151"/>
      <c r="C39" s="151"/>
      <c r="D39" s="160"/>
      <c r="E39" s="14"/>
      <c r="F39" s="14"/>
      <c r="G39" s="14"/>
      <c r="H39" s="14"/>
      <c r="I39" s="17"/>
      <c r="J39" s="14"/>
      <c r="K39" s="19"/>
    </row>
    <row r="40" spans="1:33">
      <c r="A40" s="2" t="s">
        <v>223</v>
      </c>
      <c r="B40" s="43"/>
      <c r="D40" s="5"/>
      <c r="E40" s="19"/>
      <c r="F40" s="19"/>
      <c r="G40" s="19"/>
      <c r="H40" s="19"/>
      <c r="I40" s="19"/>
      <c r="J40" s="19"/>
      <c r="K40" s="19"/>
    </row>
    <row r="41" spans="1:33">
      <c r="A41" s="1" t="s">
        <v>226</v>
      </c>
      <c r="B41" s="43"/>
      <c r="D41" s="5" t="s">
        <v>246</v>
      </c>
      <c r="E41" s="21">
        <f>E38-E43-E42</f>
        <v>-291884.3</v>
      </c>
      <c r="F41" s="19"/>
      <c r="G41" s="19"/>
      <c r="H41" s="19"/>
      <c r="I41" s="19"/>
      <c r="J41" s="19"/>
      <c r="K41" s="19"/>
    </row>
    <row r="42" spans="1:33">
      <c r="A42" s="1" t="s">
        <v>227</v>
      </c>
      <c r="B42" s="43"/>
      <c r="D42" s="5" t="s">
        <v>247</v>
      </c>
      <c r="E42" s="21">
        <f>E30</f>
        <v>-5655.03</v>
      </c>
      <c r="F42" s="19"/>
      <c r="G42" s="19"/>
      <c r="H42" s="19"/>
      <c r="I42" s="19"/>
      <c r="J42" s="19"/>
      <c r="K42" s="19"/>
    </row>
    <row r="43" spans="1:33">
      <c r="A43" s="1" t="s">
        <v>228</v>
      </c>
      <c r="B43" s="43"/>
      <c r="D43" s="10" t="s">
        <v>230</v>
      </c>
      <c r="E43" s="80">
        <v>291884.3</v>
      </c>
      <c r="F43" s="19"/>
      <c r="G43" s="19"/>
      <c r="H43" s="19"/>
      <c r="I43" s="19"/>
      <c r="J43" s="19"/>
      <c r="K43" s="19"/>
    </row>
    <row r="44" spans="1:33">
      <c r="B44" s="43"/>
      <c r="D44" s="5"/>
      <c r="E44" s="39">
        <f>SUM(E41:E43)</f>
        <v>-5655.0300000000279</v>
      </c>
      <c r="F44" s="19"/>
      <c r="G44" s="19"/>
      <c r="H44" s="19"/>
      <c r="I44" s="19"/>
      <c r="J44" s="19"/>
      <c r="K44" s="19"/>
    </row>
    <row r="45" spans="1:33">
      <c r="B45" s="43"/>
      <c r="E45" s="3"/>
    </row>
  </sheetData>
  <mergeCells count="5">
    <mergeCell ref="G34:H34"/>
    <mergeCell ref="F11:G11"/>
    <mergeCell ref="I11:K11"/>
    <mergeCell ref="E13:F13"/>
    <mergeCell ref="E14:F14"/>
  </mergeCells>
  <phoneticPr fontId="24" type="noConversion"/>
  <pageMargins left="0.7" right="0.7" top="0.75" bottom="0.75" header="0.3" footer="0.3"/>
  <pageSetup paperSize="9" scale="5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4"/>
  <sheetViews>
    <sheetView showGridLines="0" workbookViewId="0">
      <selection activeCell="M52" sqref="M52"/>
    </sheetView>
  </sheetViews>
  <sheetFormatPr defaultColWidth="9.1796875" defaultRowHeight="11.5"/>
  <cols>
    <col min="1" max="1" width="9.1796875" style="1"/>
    <col min="2" max="2" width="9.1796875" style="3"/>
    <col min="3" max="3" width="9.1796875" style="1"/>
    <col min="4" max="4" width="9.1796875" style="3"/>
    <col min="5" max="5" width="9.1796875" style="1"/>
    <col min="6" max="6" width="10" style="3" bestFit="1" customWidth="1"/>
    <col min="7" max="7" width="9.26953125" style="1" customWidth="1"/>
    <col min="8" max="16384" width="9.1796875" style="1"/>
  </cols>
  <sheetData>
    <row r="1" spans="1:11">
      <c r="A1" s="2" t="s">
        <v>15</v>
      </c>
      <c r="K1" s="94" t="s">
        <v>105</v>
      </c>
    </row>
    <row r="3" spans="1:11">
      <c r="A3" s="5" t="s">
        <v>3</v>
      </c>
      <c r="B3" s="6">
        <v>3044</v>
      </c>
      <c r="C3" s="5" t="s">
        <v>7</v>
      </c>
      <c r="D3" s="6">
        <v>2993</v>
      </c>
      <c r="E3" s="5" t="s">
        <v>11</v>
      </c>
      <c r="F3" s="6">
        <v>3044</v>
      </c>
      <c r="G3" s="5"/>
      <c r="H3" s="5"/>
      <c r="I3" s="5"/>
    </row>
    <row r="4" spans="1:11">
      <c r="A4" s="5" t="s">
        <v>4</v>
      </c>
      <c r="B4" s="6">
        <v>3044</v>
      </c>
      <c r="C4" s="5" t="s">
        <v>10</v>
      </c>
      <c r="D4" s="6">
        <v>3044</v>
      </c>
      <c r="E4" s="5" t="s">
        <v>12</v>
      </c>
      <c r="F4" s="6">
        <v>2958</v>
      </c>
      <c r="G4" s="5"/>
      <c r="H4" s="5"/>
      <c r="I4" s="5"/>
    </row>
    <row r="5" spans="1:11">
      <c r="A5" s="5" t="s">
        <v>5</v>
      </c>
      <c r="B5" s="6">
        <v>3044</v>
      </c>
      <c r="C5" s="5" t="s">
        <v>8</v>
      </c>
      <c r="D5" s="6">
        <v>2990</v>
      </c>
      <c r="E5" s="5" t="s">
        <v>14</v>
      </c>
      <c r="F5" s="6">
        <v>3044</v>
      </c>
      <c r="G5" s="5"/>
      <c r="H5" s="5"/>
      <c r="I5" s="5"/>
    </row>
    <row r="6" spans="1:11">
      <c r="A6" s="5" t="s">
        <v>6</v>
      </c>
      <c r="B6" s="6">
        <v>3044</v>
      </c>
      <c r="C6" s="5" t="s">
        <v>9</v>
      </c>
      <c r="D6" s="6">
        <v>3044</v>
      </c>
      <c r="E6" s="5" t="s">
        <v>13</v>
      </c>
      <c r="F6" s="6">
        <v>3044</v>
      </c>
      <c r="G6" s="5"/>
      <c r="H6" s="5"/>
      <c r="I6" s="5"/>
    </row>
    <row r="7" spans="1:11" ht="12" thickBot="1">
      <c r="F7" s="4">
        <f>SUM(B3:B6,D3:D6,F3:F6)</f>
        <v>36337</v>
      </c>
    </row>
    <row r="11" spans="1:11">
      <c r="F11" s="46"/>
    </row>
    <row r="13" spans="1:11">
      <c r="A13" s="2" t="s">
        <v>99</v>
      </c>
    </row>
    <row r="15" spans="1:11">
      <c r="A15" s="5" t="s">
        <v>3</v>
      </c>
      <c r="B15" s="6">
        <f>3388.06</f>
        <v>3388.06</v>
      </c>
      <c r="C15" s="5" t="s">
        <v>7</v>
      </c>
      <c r="D15" s="6">
        <f>4769.37</f>
        <v>4769.37</v>
      </c>
      <c r="E15" s="5" t="s">
        <v>11</v>
      </c>
      <c r="F15" s="6">
        <f>3233.51</f>
        <v>3233.51</v>
      </c>
    </row>
    <row r="16" spans="1:11">
      <c r="A16" s="5" t="s">
        <v>4</v>
      </c>
      <c r="B16" s="6">
        <f>3415.3</f>
        <v>3415.3</v>
      </c>
      <c r="C16" s="5" t="s">
        <v>10</v>
      </c>
      <c r="D16" s="6">
        <f>3801.91</f>
        <v>3801.91</v>
      </c>
      <c r="E16" s="5" t="s">
        <v>12</v>
      </c>
      <c r="F16" s="6">
        <f>3227.56</f>
        <v>3227.56</v>
      </c>
    </row>
    <row r="17" spans="1:8">
      <c r="A17" s="5" t="s">
        <v>5</v>
      </c>
      <c r="B17" s="6">
        <f>3197.96</f>
        <v>3197.96</v>
      </c>
      <c r="C17" s="5" t="s">
        <v>8</v>
      </c>
      <c r="D17" s="6">
        <f>3174.9</f>
        <v>3174.9</v>
      </c>
      <c r="E17" s="5" t="s">
        <v>14</v>
      </c>
      <c r="F17" s="6">
        <f>3239.66</f>
        <v>3239.66</v>
      </c>
    </row>
    <row r="18" spans="1:8">
      <c r="A18" s="5" t="s">
        <v>6</v>
      </c>
      <c r="B18" s="93">
        <f>6939.71</f>
        <v>6939.71</v>
      </c>
      <c r="C18" s="5" t="s">
        <v>9</v>
      </c>
      <c r="D18" s="6">
        <f>3220.09</f>
        <v>3220.09</v>
      </c>
      <c r="E18" s="5" t="s">
        <v>13</v>
      </c>
      <c r="F18" s="6">
        <f>6273.73</f>
        <v>6273.73</v>
      </c>
    </row>
    <row r="19" spans="1:8" ht="12" thickBot="1">
      <c r="F19" s="4">
        <f>SUM(B15:B18,D15:D18,F15:F18)</f>
        <v>47881.759999999995</v>
      </c>
    </row>
    <row r="21" spans="1:8">
      <c r="G21" s="98"/>
    </row>
    <row r="22" spans="1:8">
      <c r="A22" s="2" t="s">
        <v>113</v>
      </c>
      <c r="B22" s="46"/>
      <c r="C22" s="2"/>
      <c r="D22" s="46"/>
      <c r="E22" s="2"/>
      <c r="F22" s="46">
        <v>47067</v>
      </c>
      <c r="G22" s="16"/>
    </row>
    <row r="23" spans="1:8">
      <c r="A23" s="1" t="s">
        <v>107</v>
      </c>
      <c r="D23" s="3" t="s">
        <v>108</v>
      </c>
      <c r="F23" s="3">
        <v>-1859</v>
      </c>
      <c r="G23" s="12"/>
    </row>
    <row r="24" spans="1:8" s="2" customFormat="1">
      <c r="A24" s="2" t="s">
        <v>109</v>
      </c>
      <c r="B24" s="46"/>
      <c r="D24" s="46"/>
      <c r="F24" s="46">
        <f>SUM(F22:F23)</f>
        <v>45208</v>
      </c>
      <c r="G24" s="46"/>
    </row>
    <row r="25" spans="1:8">
      <c r="G25" s="12"/>
      <c r="H25" s="12"/>
    </row>
    <row r="26" spans="1:8">
      <c r="A26" s="2" t="s">
        <v>100</v>
      </c>
    </row>
    <row r="27" spans="1:8">
      <c r="A27" s="1" t="s">
        <v>101</v>
      </c>
      <c r="C27" s="92">
        <v>1840</v>
      </c>
      <c r="D27" s="92">
        <v>2200</v>
      </c>
      <c r="E27" s="1" t="s">
        <v>110</v>
      </c>
      <c r="F27" s="3">
        <f>-F22/D27*(D27-C27)+202</f>
        <v>-7499.8727272727274</v>
      </c>
      <c r="G27" s="3"/>
      <c r="H27" s="12"/>
    </row>
    <row r="28" spans="1:8">
      <c r="C28" s="92"/>
      <c r="D28" s="92"/>
      <c r="G28" s="3"/>
      <c r="H28" s="12"/>
    </row>
    <row r="29" spans="1:8">
      <c r="A29" s="2" t="s">
        <v>112</v>
      </c>
      <c r="E29" s="1" t="s">
        <v>111</v>
      </c>
      <c r="F29" s="99">
        <f>SUM(F24:F28)</f>
        <v>37708.127272727274</v>
      </c>
      <c r="G29" s="16"/>
      <c r="H29" s="12"/>
    </row>
    <row r="30" spans="1:8">
      <c r="G30" s="3"/>
      <c r="H30" s="3"/>
    </row>
    <row r="31" spans="1:8">
      <c r="A31" s="1" t="s">
        <v>102</v>
      </c>
      <c r="C31" s="91" t="s">
        <v>103</v>
      </c>
      <c r="F31" s="3">
        <f>-F22*0.1</f>
        <v>-4706.7</v>
      </c>
      <c r="G31" s="12"/>
    </row>
    <row r="33" spans="1:7" s="2" customFormat="1">
      <c r="A33" s="2" t="s">
        <v>114</v>
      </c>
      <c r="B33" s="46"/>
      <c r="D33" s="46"/>
      <c r="F33" s="46">
        <f>SUM(F29:F31)</f>
        <v>33001.427272727276</v>
      </c>
      <c r="G33" s="46"/>
    </row>
    <row r="39" spans="1:7">
      <c r="A39" s="5" t="s">
        <v>7</v>
      </c>
      <c r="B39" s="6">
        <v>4769</v>
      </c>
      <c r="C39" s="5" t="s">
        <v>11</v>
      </c>
      <c r="D39" s="6">
        <v>3234</v>
      </c>
      <c r="E39" s="5" t="s">
        <v>3</v>
      </c>
      <c r="F39" s="6">
        <v>3239</v>
      </c>
    </row>
    <row r="40" spans="1:7">
      <c r="A40" s="5" t="s">
        <v>10</v>
      </c>
      <c r="B40" s="6">
        <v>3802</v>
      </c>
      <c r="C40" s="5" t="s">
        <v>12</v>
      </c>
      <c r="D40" s="6">
        <v>3228</v>
      </c>
      <c r="E40" s="5" t="s">
        <v>4</v>
      </c>
      <c r="F40" s="6">
        <v>3687</v>
      </c>
    </row>
    <row r="41" spans="1:7">
      <c r="A41" s="5" t="s">
        <v>8</v>
      </c>
      <c r="B41" s="6">
        <v>3174.9</v>
      </c>
      <c r="C41" s="5" t="s">
        <v>14</v>
      </c>
      <c r="D41" s="6">
        <v>3240</v>
      </c>
      <c r="E41" s="5" t="s">
        <v>5</v>
      </c>
      <c r="F41" s="6">
        <v>3238</v>
      </c>
    </row>
    <row r="42" spans="1:7">
      <c r="A42" s="5" t="s">
        <v>9</v>
      </c>
      <c r="B42" s="6">
        <v>3220</v>
      </c>
      <c r="C42" s="5" t="s">
        <v>13</v>
      </c>
      <c r="D42" s="6">
        <v>6274</v>
      </c>
      <c r="E42" s="5" t="s">
        <v>6</v>
      </c>
      <c r="F42" s="6">
        <v>9247</v>
      </c>
    </row>
    <row r="43" spans="1:7" ht="12" thickBot="1">
      <c r="B43" s="1"/>
      <c r="D43" s="1"/>
      <c r="F43" s="1"/>
      <c r="G43" s="4">
        <f>SUM(F39:F42,B39:B42,D39:D42)</f>
        <v>50352.9</v>
      </c>
    </row>
    <row r="44" spans="1:7">
      <c r="B44" s="1"/>
      <c r="D44" s="1"/>
      <c r="F44" s="1"/>
      <c r="G44" s="12">
        <f>G43/12</f>
        <v>4196.0749999999998</v>
      </c>
    </row>
  </sheetData>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877E6-0D7E-487C-808E-BF9430C6D849}">
  <dimension ref="A1:BF55"/>
  <sheetViews>
    <sheetView showGridLines="0" zoomScale="90" zoomScaleNormal="90" workbookViewId="0">
      <selection activeCell="AZ21" sqref="AZ21"/>
    </sheetView>
  </sheetViews>
  <sheetFormatPr defaultColWidth="4" defaultRowHeight="15.75" customHeight="1"/>
  <cols>
    <col min="1" max="1" width="4" style="113"/>
    <col min="2" max="32" width="4" style="11"/>
    <col min="33" max="33" width="5.26953125" style="85" customWidth="1"/>
    <col min="34" max="35" width="6.54296875" style="85" customWidth="1"/>
    <col min="36" max="36" width="6" style="85" customWidth="1"/>
    <col min="37" max="37" width="7.54296875" style="85" bestFit="1" customWidth="1"/>
    <col min="38" max="38" width="6.453125" style="180" customWidth="1"/>
    <col min="39" max="39" width="6.453125" style="42" customWidth="1"/>
    <col min="40" max="41" width="4" style="11"/>
    <col min="42" max="42" width="5" style="11" bestFit="1" customWidth="1"/>
    <col min="43" max="43" width="4" style="11"/>
    <col min="44" max="45" width="4.81640625" style="11" bestFit="1" customWidth="1"/>
    <col min="46" max="46" width="5.1796875" style="41" customWidth="1"/>
    <col min="47" max="47" width="5.26953125" style="11" customWidth="1"/>
    <col min="48" max="55" width="5" style="11" customWidth="1"/>
    <col min="56" max="56" width="5" style="103" customWidth="1"/>
    <col min="57" max="59" width="5" style="11" customWidth="1"/>
    <col min="60" max="16384" width="4" style="11"/>
  </cols>
  <sheetData>
    <row r="1" spans="1:58" ht="15.75" customHeight="1">
      <c r="A1" s="216" t="s">
        <v>88</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row>
    <row r="2" spans="1:58" ht="4.5" customHeight="1">
      <c r="A2" s="103"/>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1:58" ht="15.75" customHeight="1">
      <c r="B3" s="11">
        <v>1</v>
      </c>
      <c r="C3" s="11">
        <v>2</v>
      </c>
      <c r="D3" s="11">
        <v>3</v>
      </c>
      <c r="E3" s="11">
        <v>4</v>
      </c>
      <c r="F3" s="11">
        <v>5</v>
      </c>
      <c r="G3" s="11">
        <v>6</v>
      </c>
      <c r="H3" s="11">
        <v>7</v>
      </c>
      <c r="I3" s="11">
        <v>8</v>
      </c>
      <c r="J3" s="11">
        <v>9</v>
      </c>
      <c r="K3" s="11">
        <v>10</v>
      </c>
      <c r="L3" s="11">
        <v>11</v>
      </c>
      <c r="M3" s="11">
        <v>12</v>
      </c>
      <c r="N3" s="11">
        <v>13</v>
      </c>
      <c r="O3" s="11">
        <v>14</v>
      </c>
      <c r="P3" s="11">
        <v>15</v>
      </c>
      <c r="Q3" s="11">
        <v>16</v>
      </c>
      <c r="R3" s="11">
        <v>17</v>
      </c>
      <c r="S3" s="11">
        <v>18</v>
      </c>
      <c r="T3" s="11">
        <v>19</v>
      </c>
      <c r="U3" s="11">
        <v>20</v>
      </c>
      <c r="V3" s="11">
        <v>21</v>
      </c>
      <c r="W3" s="11">
        <v>22</v>
      </c>
      <c r="X3" s="11">
        <v>23</v>
      </c>
      <c r="Y3" s="11">
        <v>24</v>
      </c>
      <c r="Z3" s="11">
        <v>25</v>
      </c>
      <c r="AA3" s="11">
        <v>26</v>
      </c>
      <c r="AB3" s="11">
        <v>27</v>
      </c>
      <c r="AC3" s="11">
        <v>28</v>
      </c>
      <c r="AD3" s="11">
        <v>29</v>
      </c>
      <c r="AE3" s="11">
        <v>30</v>
      </c>
      <c r="AF3" s="11">
        <v>31</v>
      </c>
      <c r="AG3" s="107" t="s">
        <v>91</v>
      </c>
      <c r="AH3" s="122" t="s">
        <v>90</v>
      </c>
      <c r="AI3" s="123" t="s">
        <v>90</v>
      </c>
      <c r="AJ3" s="107" t="s">
        <v>92</v>
      </c>
      <c r="AK3" s="107" t="s">
        <v>106</v>
      </c>
      <c r="AL3" s="112" t="s">
        <v>94</v>
      </c>
      <c r="AM3" s="107" t="s">
        <v>93</v>
      </c>
      <c r="AS3" s="169" t="s">
        <v>148</v>
      </c>
    </row>
    <row r="4" spans="1:58" ht="15.75" customHeight="1">
      <c r="A4" s="113" t="s">
        <v>81</v>
      </c>
      <c r="B4" s="87"/>
      <c r="C4" s="83"/>
      <c r="D4" s="83"/>
      <c r="E4" s="83"/>
      <c r="F4" s="83"/>
      <c r="G4" s="83"/>
      <c r="H4" s="83"/>
      <c r="I4" s="83"/>
      <c r="J4" s="83"/>
      <c r="K4" s="83"/>
      <c r="L4" s="83"/>
      <c r="M4" s="83"/>
      <c r="N4" s="83"/>
      <c r="O4" s="83"/>
      <c r="P4" s="83"/>
      <c r="Q4" s="83"/>
      <c r="R4" s="83"/>
      <c r="S4" s="83"/>
      <c r="T4" s="83"/>
      <c r="U4" s="83"/>
      <c r="V4" s="83"/>
      <c r="W4" s="83"/>
      <c r="X4" s="83"/>
      <c r="Y4" s="83"/>
      <c r="Z4" s="83"/>
      <c r="AA4" s="83"/>
      <c r="AB4" s="217" t="s">
        <v>253</v>
      </c>
      <c r="AC4" s="218"/>
      <c r="AD4" s="219"/>
      <c r="AE4" s="83"/>
      <c r="AF4" s="83"/>
      <c r="AG4" s="85">
        <v>3</v>
      </c>
      <c r="AH4" s="110">
        <v>165</v>
      </c>
      <c r="AI4" s="110">
        <v>0</v>
      </c>
      <c r="AJ4" s="110">
        <v>25</v>
      </c>
      <c r="AK4" s="110">
        <v>-6.84</v>
      </c>
      <c r="AL4" s="112">
        <v>0</v>
      </c>
      <c r="AM4" s="107">
        <f>SUM(AH4:AL4)</f>
        <v>183.16</v>
      </c>
      <c r="AS4" s="11" t="s">
        <v>104</v>
      </c>
      <c r="AT4" s="108">
        <v>183</v>
      </c>
    </row>
    <row r="5" spans="1:58" ht="15.75" customHeight="1">
      <c r="A5" s="113" t="s">
        <v>82</v>
      </c>
      <c r="B5" s="83"/>
      <c r="C5" s="83"/>
      <c r="D5" s="213" t="s">
        <v>255</v>
      </c>
      <c r="E5" s="214"/>
      <c r="F5" s="214"/>
      <c r="G5" s="214"/>
      <c r="H5" s="214"/>
      <c r="I5" s="214"/>
      <c r="J5" s="214"/>
      <c r="K5" s="214"/>
      <c r="L5" s="214"/>
      <c r="M5" s="214"/>
      <c r="N5" s="214"/>
      <c r="O5" s="215"/>
      <c r="P5" s="83"/>
      <c r="Q5" s="211" t="s">
        <v>258</v>
      </c>
      <c r="R5" s="212"/>
      <c r="S5" s="83"/>
      <c r="T5" s="213" t="s">
        <v>256</v>
      </c>
      <c r="U5" s="214"/>
      <c r="V5" s="214"/>
      <c r="W5" s="214"/>
      <c r="X5" s="214"/>
      <c r="Y5" s="214"/>
      <c r="Z5" s="215"/>
      <c r="AA5" s="83"/>
      <c r="AB5" s="83"/>
      <c r="AC5" s="83"/>
      <c r="AD5" s="83"/>
      <c r="AE5" s="128"/>
      <c r="AF5" s="132"/>
      <c r="AG5" s="85">
        <f>7+12+2</f>
        <v>21</v>
      </c>
      <c r="AH5" s="110">
        <f>700+850+200</f>
        <v>1750</v>
      </c>
      <c r="AI5" s="110">
        <v>0</v>
      </c>
      <c r="AJ5" s="110">
        <v>0</v>
      </c>
      <c r="AK5" s="110">
        <v>0</v>
      </c>
      <c r="AL5" s="112">
        <v>0</v>
      </c>
      <c r="AM5" s="107">
        <f>SUM(AH5:AL5)</f>
        <v>1750</v>
      </c>
      <c r="AS5" s="11" t="s">
        <v>104</v>
      </c>
      <c r="AT5" s="108">
        <v>250</v>
      </c>
      <c r="AU5" s="108">
        <v>450</v>
      </c>
      <c r="AV5" s="108">
        <v>850</v>
      </c>
      <c r="AW5" s="163">
        <v>100</v>
      </c>
      <c r="AX5" s="108">
        <v>100</v>
      </c>
      <c r="AY5" s="108"/>
    </row>
    <row r="6" spans="1:58" ht="15.75" customHeight="1">
      <c r="A6" s="113" t="s">
        <v>83</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129">
        <v>0</v>
      </c>
      <c r="AH6" s="110">
        <v>0</v>
      </c>
      <c r="AI6" s="110">
        <v>0</v>
      </c>
      <c r="AJ6" s="110">
        <v>0</v>
      </c>
      <c r="AK6" s="110">
        <v>0</v>
      </c>
      <c r="AL6" s="112">
        <v>0</v>
      </c>
      <c r="AM6" s="42">
        <f>SUM(AH6:AK6)</f>
        <v>0</v>
      </c>
      <c r="AS6" s="11" t="s">
        <v>104</v>
      </c>
      <c r="AU6" s="41"/>
      <c r="AV6" s="41"/>
      <c r="AW6" s="41"/>
      <c r="AX6" s="41"/>
    </row>
    <row r="7" spans="1:58" ht="15.75" customHeight="1">
      <c r="A7" s="113" t="s">
        <v>84</v>
      </c>
      <c r="B7" s="83"/>
      <c r="C7" s="83"/>
      <c r="D7" s="83"/>
      <c r="E7" s="83"/>
      <c r="F7" s="83"/>
      <c r="G7" s="83"/>
      <c r="H7" s="83"/>
      <c r="I7" s="83"/>
      <c r="J7" s="83"/>
      <c r="K7" s="83"/>
      <c r="L7" s="217" t="s">
        <v>265</v>
      </c>
      <c r="M7" s="218"/>
      <c r="N7" s="219"/>
      <c r="O7" s="83"/>
      <c r="P7" s="217" t="s">
        <v>262</v>
      </c>
      <c r="Q7" s="218"/>
      <c r="R7" s="219"/>
      <c r="S7" s="217" t="s">
        <v>267</v>
      </c>
      <c r="T7" s="218"/>
      <c r="U7" s="219"/>
      <c r="V7" s="82"/>
      <c r="W7" s="82"/>
      <c r="X7" s="82"/>
      <c r="Y7" s="82"/>
      <c r="Z7" s="82"/>
      <c r="AA7" s="82"/>
      <c r="AB7" s="82"/>
      <c r="AC7" s="82"/>
      <c r="AD7" s="217"/>
      <c r="AE7" s="219"/>
      <c r="AF7" s="128"/>
      <c r="AG7" s="129">
        <f>6+3+3</f>
        <v>12</v>
      </c>
      <c r="AH7" s="110">
        <f>210+300+210+215</f>
        <v>935</v>
      </c>
      <c r="AI7" s="110">
        <v>0</v>
      </c>
      <c r="AJ7" s="110">
        <f>25+25+25+25</f>
        <v>100</v>
      </c>
      <c r="AK7" s="110">
        <f>-11.7-8.46-8.46-8.64</f>
        <v>-37.260000000000005</v>
      </c>
      <c r="AL7" s="112">
        <v>0</v>
      </c>
      <c r="AM7" s="42">
        <f>SUM(AH7:AL7)</f>
        <v>997.74</v>
      </c>
      <c r="AS7" s="11" t="s">
        <v>104</v>
      </c>
      <c r="AT7" s="108">
        <v>313</v>
      </c>
      <c r="AU7" s="108">
        <v>226.54</v>
      </c>
      <c r="AV7" s="108">
        <v>226.54</v>
      </c>
      <c r="AW7" s="41">
        <v>231.36</v>
      </c>
      <c r="AX7" s="41"/>
    </row>
    <row r="8" spans="1:58" ht="15.75" customHeight="1">
      <c r="A8" s="113" t="s">
        <v>83</v>
      </c>
      <c r="B8" s="200"/>
      <c r="C8" s="82"/>
      <c r="D8" s="82"/>
      <c r="E8" s="82"/>
      <c r="F8" s="82"/>
      <c r="G8" s="82"/>
      <c r="H8" s="82"/>
      <c r="I8" s="82"/>
      <c r="J8" s="82"/>
      <c r="K8" s="82"/>
      <c r="L8" s="82"/>
      <c r="M8" s="82"/>
      <c r="N8" s="82"/>
      <c r="O8" s="82"/>
      <c r="P8" s="82"/>
      <c r="Q8" s="82"/>
      <c r="R8" s="82"/>
      <c r="S8" s="82"/>
      <c r="T8" s="82"/>
      <c r="U8" s="82"/>
      <c r="V8" s="82"/>
      <c r="W8" s="82"/>
      <c r="X8" s="82"/>
      <c r="Y8" s="82"/>
      <c r="Z8" s="82"/>
      <c r="AA8" s="217" t="s">
        <v>264</v>
      </c>
      <c r="AB8" s="218"/>
      <c r="AC8" s="219"/>
      <c r="AD8" s="82"/>
      <c r="AE8" s="82"/>
      <c r="AF8" s="82"/>
      <c r="AG8" s="129">
        <v>3</v>
      </c>
      <c r="AH8" s="85">
        <v>330</v>
      </c>
      <c r="AJ8" s="85">
        <v>25</v>
      </c>
      <c r="AK8" s="85">
        <v>-12.78</v>
      </c>
      <c r="AL8" s="112">
        <v>0</v>
      </c>
      <c r="AM8" s="42">
        <f>SUM(AH8:AL8)</f>
        <v>342.22</v>
      </c>
      <c r="AS8" s="11" t="s">
        <v>104</v>
      </c>
      <c r="AT8" s="41">
        <v>342</v>
      </c>
      <c r="AU8" s="41"/>
      <c r="AV8" s="41"/>
      <c r="AW8" s="41"/>
      <c r="AX8" s="41"/>
      <c r="BC8" s="103"/>
      <c r="BE8" s="103"/>
      <c r="BF8" s="103"/>
    </row>
    <row r="9" spans="1:58" ht="15.75" customHeight="1">
      <c r="A9" s="113" t="s">
        <v>81</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128"/>
      <c r="AG9" s="129"/>
      <c r="AM9" s="42">
        <f>SUM(AH9:AL9)</f>
        <v>0</v>
      </c>
      <c r="AS9" s="11" t="s">
        <v>104</v>
      </c>
      <c r="AU9" s="41"/>
      <c r="AV9" s="41"/>
      <c r="AW9" s="41"/>
      <c r="AX9" s="41"/>
      <c r="BC9" s="103"/>
      <c r="BE9" s="103"/>
      <c r="BF9" s="103"/>
    </row>
    <row r="10" spans="1:58" ht="15.75" customHeight="1">
      <c r="A10" s="113" t="s">
        <v>81</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129"/>
      <c r="AM10" s="104">
        <f>SUM(AI10:AL10)</f>
        <v>0</v>
      </c>
      <c r="AN10" s="105"/>
      <c r="AS10" s="11" t="s">
        <v>104</v>
      </c>
      <c r="AU10" s="41"/>
      <c r="AV10" s="41"/>
      <c r="AW10" s="41"/>
      <c r="AX10" s="41"/>
      <c r="BF10" s="103"/>
    </row>
    <row r="11" spans="1:58" ht="15.75" customHeight="1">
      <c r="A11" s="113" t="s">
        <v>84</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129"/>
      <c r="AM11" s="104">
        <f>SUM(AH11:AL11)</f>
        <v>0</v>
      </c>
      <c r="AN11" s="105"/>
      <c r="AS11" s="11" t="s">
        <v>104</v>
      </c>
      <c r="AU11" s="41"/>
      <c r="AV11" s="41"/>
      <c r="AW11" s="41"/>
      <c r="AX11" s="41"/>
      <c r="BD11" s="101"/>
      <c r="BF11" s="103"/>
    </row>
    <row r="12" spans="1:58" ht="15.75" customHeight="1">
      <c r="A12" s="113" t="s">
        <v>85</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128"/>
      <c r="AG12" s="129"/>
      <c r="AM12" s="104">
        <f>SUM(AH12:AL12)</f>
        <v>0</v>
      </c>
      <c r="AS12" s="11" t="s">
        <v>104</v>
      </c>
      <c r="AU12" s="41"/>
      <c r="AV12" s="41"/>
      <c r="AW12" s="41"/>
      <c r="AX12" s="41"/>
      <c r="BC12" s="103"/>
      <c r="BD12" s="11"/>
      <c r="BF12" s="103"/>
    </row>
    <row r="13" spans="1:58" ht="15.75" customHeight="1">
      <c r="A13" s="113" t="s">
        <v>86</v>
      </c>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129"/>
      <c r="AM13" s="104">
        <f>SUM(AH13:AL13)</f>
        <v>0</v>
      </c>
      <c r="AS13" s="11" t="s">
        <v>104</v>
      </c>
      <c r="AU13" s="41"/>
      <c r="AV13" s="41"/>
      <c r="AW13" s="41"/>
      <c r="AX13" s="41"/>
      <c r="BC13" s="103"/>
      <c r="BD13" s="11"/>
      <c r="BF13" s="103"/>
    </row>
    <row r="14" spans="1:58" ht="15.75" customHeight="1">
      <c r="A14" s="113" t="s">
        <v>87</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128"/>
      <c r="AG14" s="129"/>
      <c r="AM14" s="104">
        <f>SUM(AH14:AL14)</f>
        <v>0</v>
      </c>
      <c r="AS14" s="11" t="s">
        <v>104</v>
      </c>
      <c r="AU14" s="41"/>
      <c r="AV14" s="41"/>
      <c r="AW14" s="41"/>
      <c r="AX14" s="41"/>
      <c r="BC14" s="103"/>
      <c r="BD14" s="11"/>
      <c r="BF14" s="103"/>
    </row>
    <row r="15" spans="1:58" ht="15.75" customHeight="1">
      <c r="A15" s="113" t="s">
        <v>80</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129"/>
      <c r="AM15" s="104">
        <f>SUM(AH15:AL15)</f>
        <v>0</v>
      </c>
      <c r="AS15" s="11" t="s">
        <v>104</v>
      </c>
      <c r="AU15" s="41"/>
      <c r="AV15" s="41"/>
      <c r="AW15" s="41"/>
      <c r="AX15" s="41"/>
      <c r="BC15" s="103"/>
      <c r="BD15" s="11"/>
      <c r="BF15" s="103"/>
    </row>
    <row r="16" spans="1:58" ht="15.75" customHeight="1">
      <c r="B16" s="11">
        <v>1</v>
      </c>
      <c r="C16" s="11">
        <v>1</v>
      </c>
      <c r="D16" s="11">
        <v>1</v>
      </c>
      <c r="E16" s="11">
        <v>1</v>
      </c>
      <c r="F16" s="11">
        <v>1</v>
      </c>
      <c r="G16" s="11">
        <v>1</v>
      </c>
      <c r="H16" s="11">
        <v>1</v>
      </c>
      <c r="I16" s="11">
        <v>1</v>
      </c>
      <c r="J16" s="11">
        <v>1</v>
      </c>
      <c r="K16" s="11">
        <v>1</v>
      </c>
      <c r="L16" s="11">
        <v>1</v>
      </c>
      <c r="M16" s="11">
        <v>1</v>
      </c>
      <c r="N16" s="11">
        <v>1</v>
      </c>
      <c r="O16" s="11">
        <v>1</v>
      </c>
      <c r="P16" s="11">
        <v>1</v>
      </c>
      <c r="Q16" s="11">
        <v>1</v>
      </c>
      <c r="R16" s="11">
        <v>1</v>
      </c>
      <c r="S16" s="11">
        <v>1</v>
      </c>
      <c r="T16" s="11">
        <v>1</v>
      </c>
      <c r="U16" s="11">
        <v>1</v>
      </c>
      <c r="V16" s="11">
        <v>1</v>
      </c>
      <c r="W16" s="11">
        <v>1</v>
      </c>
      <c r="X16" s="11">
        <v>1</v>
      </c>
      <c r="Y16" s="11">
        <v>1</v>
      </c>
      <c r="Z16" s="11">
        <v>1</v>
      </c>
      <c r="AA16" s="11">
        <v>1</v>
      </c>
      <c r="AB16" s="11">
        <v>1</v>
      </c>
      <c r="AC16" s="11">
        <v>1</v>
      </c>
      <c r="AD16" s="11">
        <v>1</v>
      </c>
      <c r="AE16" s="11">
        <v>1</v>
      </c>
      <c r="AF16" s="11">
        <v>1</v>
      </c>
      <c r="BC16" s="103"/>
      <c r="BD16" s="11"/>
      <c r="BF16" s="103"/>
    </row>
    <row r="17" spans="1:58" ht="15.75" customHeight="1">
      <c r="AI17" s="129"/>
      <c r="BC17" s="103"/>
      <c r="BD17" s="11"/>
      <c r="BF17" s="103"/>
    </row>
    <row r="18" spans="1:58" ht="15.75" customHeight="1">
      <c r="BC18" s="103"/>
      <c r="BD18" s="11"/>
      <c r="BF18" s="103"/>
    </row>
    <row r="19" spans="1:58" ht="15.75" customHeight="1">
      <c r="A19" s="216" t="s">
        <v>89</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BC19" s="103"/>
      <c r="BD19" s="11"/>
      <c r="BF19" s="103"/>
    </row>
    <row r="20" spans="1:58" ht="4.5" customHeight="1">
      <c r="A20" s="119"/>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BC20" s="103"/>
      <c r="BD20" s="11"/>
      <c r="BF20" s="103"/>
    </row>
    <row r="21" spans="1:58" ht="15.75" customHeight="1">
      <c r="B21" s="11">
        <v>1</v>
      </c>
      <c r="C21" s="11">
        <v>2</v>
      </c>
      <c r="D21" s="11">
        <v>3</v>
      </c>
      <c r="E21" s="11">
        <v>4</v>
      </c>
      <c r="F21" s="11">
        <v>5</v>
      </c>
      <c r="G21" s="11">
        <v>6</v>
      </c>
      <c r="H21" s="11">
        <v>7</v>
      </c>
      <c r="I21" s="11">
        <v>8</v>
      </c>
      <c r="J21" s="11">
        <v>9</v>
      </c>
      <c r="K21" s="11">
        <v>10</v>
      </c>
      <c r="L21" s="11">
        <v>11</v>
      </c>
      <c r="M21" s="11">
        <v>12</v>
      </c>
      <c r="N21" s="11">
        <v>13</v>
      </c>
      <c r="O21" s="11">
        <v>14</v>
      </c>
      <c r="P21" s="11">
        <v>15</v>
      </c>
      <c r="Q21" s="11">
        <v>16</v>
      </c>
      <c r="R21" s="11">
        <v>17</v>
      </c>
      <c r="S21" s="11">
        <v>18</v>
      </c>
      <c r="T21" s="11">
        <v>19</v>
      </c>
      <c r="U21" s="11">
        <v>20</v>
      </c>
      <c r="V21" s="11">
        <v>21</v>
      </c>
      <c r="W21" s="11">
        <v>22</v>
      </c>
      <c r="X21" s="11">
        <v>23</v>
      </c>
      <c r="Y21" s="11">
        <v>24</v>
      </c>
      <c r="Z21" s="11">
        <v>25</v>
      </c>
      <c r="AA21" s="11">
        <v>26</v>
      </c>
      <c r="AB21" s="11">
        <v>27</v>
      </c>
      <c r="AC21" s="11">
        <v>28</v>
      </c>
      <c r="AD21" s="11">
        <v>29</v>
      </c>
      <c r="AE21" s="11">
        <v>30</v>
      </c>
      <c r="AF21" s="11">
        <v>31</v>
      </c>
      <c r="AG21" s="107" t="s">
        <v>91</v>
      </c>
      <c r="AH21" s="122" t="s">
        <v>90</v>
      </c>
      <c r="AI21" s="123" t="s">
        <v>90</v>
      </c>
      <c r="AJ21" s="107" t="s">
        <v>92</v>
      </c>
      <c r="AK21" s="107" t="s">
        <v>106</v>
      </c>
      <c r="AL21" s="112" t="s">
        <v>94</v>
      </c>
      <c r="AM21" s="107" t="s">
        <v>93</v>
      </c>
      <c r="BC21" s="103"/>
      <c r="BD21" s="11"/>
      <c r="BF21" s="103"/>
    </row>
    <row r="22" spans="1:58" ht="15.75" customHeight="1">
      <c r="A22" s="113" t="s">
        <v>81</v>
      </c>
      <c r="B22" s="140"/>
      <c r="C22" s="83"/>
      <c r="D22" s="83"/>
      <c r="E22" s="83"/>
      <c r="F22" s="217" t="s">
        <v>251</v>
      </c>
      <c r="G22" s="218"/>
      <c r="H22" s="219"/>
      <c r="I22" s="83"/>
      <c r="J22" s="83"/>
      <c r="K22" s="83"/>
      <c r="L22" s="83"/>
      <c r="M22" s="83"/>
      <c r="N22" s="83"/>
      <c r="O22" s="83"/>
      <c r="P22" s="83"/>
      <c r="Q22" s="83"/>
      <c r="R22" s="83"/>
      <c r="S22" s="83"/>
      <c r="T22" s="217" t="s">
        <v>252</v>
      </c>
      <c r="U22" s="218"/>
      <c r="V22" s="218"/>
      <c r="W22" s="219"/>
      <c r="X22" s="83"/>
      <c r="Y22" s="83"/>
      <c r="Z22" s="83"/>
      <c r="AA22" s="217" t="s">
        <v>254</v>
      </c>
      <c r="AB22" s="218"/>
      <c r="AC22" s="219"/>
      <c r="AD22" s="83"/>
      <c r="AE22" s="83"/>
      <c r="AF22" s="83"/>
      <c r="AG22" s="85">
        <f>3+4+3</f>
        <v>10</v>
      </c>
      <c r="AH22" s="110">
        <f>180+220+165</f>
        <v>565</v>
      </c>
      <c r="AI22" s="110">
        <v>0</v>
      </c>
      <c r="AJ22" s="110">
        <f>25+25+25</f>
        <v>75</v>
      </c>
      <c r="AK22" s="110">
        <f>-7.38-8.82-6.84</f>
        <v>-23.04</v>
      </c>
      <c r="AL22" s="112">
        <v>0</v>
      </c>
      <c r="AM22" s="107">
        <f>SUM(AH22:AL22)</f>
        <v>616.96</v>
      </c>
      <c r="AS22" s="11" t="s">
        <v>104</v>
      </c>
      <c r="AT22" s="109">
        <v>197.62</v>
      </c>
      <c r="AU22" s="109">
        <v>236.18</v>
      </c>
      <c r="AV22" s="109">
        <v>183.16</v>
      </c>
      <c r="BC22" s="103"/>
      <c r="BD22" s="11"/>
      <c r="BF22" s="103"/>
    </row>
    <row r="23" spans="1:58" ht="15.75" customHeight="1">
      <c r="A23" s="113" t="s">
        <v>82</v>
      </c>
      <c r="B23" s="83"/>
      <c r="C23" s="83"/>
      <c r="D23" s="83"/>
      <c r="E23" s="83"/>
      <c r="F23" s="83"/>
      <c r="G23" s="83"/>
      <c r="H23" s="213" t="s">
        <v>255</v>
      </c>
      <c r="I23" s="214"/>
      <c r="J23" s="214"/>
      <c r="K23" s="214"/>
      <c r="L23" s="214"/>
      <c r="M23" s="214"/>
      <c r="N23" s="214"/>
      <c r="O23" s="215"/>
      <c r="P23" s="217" t="s">
        <v>257</v>
      </c>
      <c r="Q23" s="218"/>
      <c r="R23" s="219"/>
      <c r="S23" s="83"/>
      <c r="T23" s="83"/>
      <c r="U23" s="217" t="s">
        <v>259</v>
      </c>
      <c r="V23" s="218"/>
      <c r="W23" s="219"/>
      <c r="X23" s="83"/>
      <c r="Y23" s="83"/>
      <c r="Z23" s="213"/>
      <c r="AA23" s="214"/>
      <c r="AB23" s="83"/>
      <c r="AC23" s="83"/>
      <c r="AD23" s="83"/>
      <c r="AE23" s="128"/>
      <c r="AF23" s="133"/>
      <c r="AG23" s="129">
        <f>8+3+3+2</f>
        <v>16</v>
      </c>
      <c r="AH23" s="110">
        <f>700+270+300+200</f>
        <v>1470</v>
      </c>
      <c r="AI23" s="110">
        <v>0</v>
      </c>
      <c r="AJ23" s="110">
        <f>25+25+25</f>
        <v>75</v>
      </c>
      <c r="AK23" s="110">
        <f>-10.62-11.7</f>
        <v>-22.32</v>
      </c>
      <c r="AL23" s="112">
        <v>0</v>
      </c>
      <c r="AM23" s="107">
        <f t="shared" ref="AM23:AM29" si="0">SUM(AH23:AL23)</f>
        <v>1522.68</v>
      </c>
      <c r="AS23" s="11" t="s">
        <v>104</v>
      </c>
      <c r="AT23" s="108">
        <v>700</v>
      </c>
      <c r="AU23" s="109">
        <v>284.38</v>
      </c>
      <c r="AV23" s="109">
        <v>313.3</v>
      </c>
      <c r="AW23" s="163">
        <v>225</v>
      </c>
      <c r="BA23" s="164"/>
      <c r="BC23" s="103"/>
      <c r="BD23" s="11"/>
      <c r="BF23" s="103"/>
    </row>
    <row r="24" spans="1:58" ht="15.75" customHeight="1">
      <c r="A24" s="113" t="s">
        <v>83</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5">
        <v>0</v>
      </c>
      <c r="AH24" s="110">
        <v>0</v>
      </c>
      <c r="AI24" s="110">
        <v>0</v>
      </c>
      <c r="AJ24" s="110">
        <v>0</v>
      </c>
      <c r="AK24" s="110">
        <v>0</v>
      </c>
      <c r="AL24" s="112">
        <v>0</v>
      </c>
      <c r="AM24" s="107">
        <f t="shared" si="0"/>
        <v>0</v>
      </c>
      <c r="AS24" s="11" t="s">
        <v>104</v>
      </c>
      <c r="BC24" s="103"/>
      <c r="BD24" s="11"/>
      <c r="BF24" s="103"/>
    </row>
    <row r="25" spans="1:58" ht="15.75" customHeight="1">
      <c r="A25" s="113" t="s">
        <v>84</v>
      </c>
      <c r="B25" s="83"/>
      <c r="C25" s="83"/>
      <c r="D25" s="213" t="s">
        <v>260</v>
      </c>
      <c r="E25" s="214"/>
      <c r="F25" s="214"/>
      <c r="G25" s="214"/>
      <c r="H25" s="215"/>
      <c r="I25" s="83"/>
      <c r="J25" s="83"/>
      <c r="K25" s="83"/>
      <c r="L25" s="217" t="s">
        <v>266</v>
      </c>
      <c r="M25" s="218"/>
      <c r="N25" s="218"/>
      <c r="O25" s="218"/>
      <c r="P25" s="218"/>
      <c r="Q25" s="218"/>
      <c r="R25" s="218"/>
      <c r="S25" s="218"/>
      <c r="T25" s="218"/>
      <c r="U25" s="218"/>
      <c r="V25" s="218"/>
      <c r="W25" s="218"/>
      <c r="X25" s="218"/>
      <c r="Y25" s="219"/>
      <c r="Z25" s="82"/>
      <c r="AA25" s="82"/>
      <c r="AB25" s="82"/>
      <c r="AC25" s="82"/>
      <c r="AD25" s="82"/>
      <c r="AE25" s="82"/>
      <c r="AF25" s="128"/>
      <c r="AG25" s="129">
        <f>5+7+4+3</f>
        <v>19</v>
      </c>
      <c r="AH25" s="110">
        <f>425+525+275+225</f>
        <v>1450</v>
      </c>
      <c r="AI25" s="110">
        <v>0</v>
      </c>
      <c r="AJ25" s="110">
        <f>25+25+25</f>
        <v>75</v>
      </c>
      <c r="AK25" s="110">
        <f>-19.8-10.8-8.1</f>
        <v>-38.700000000000003</v>
      </c>
      <c r="AL25" s="112">
        <v>0</v>
      </c>
      <c r="AM25" s="107">
        <f>SUM(AH25:AL25)</f>
        <v>1486.3</v>
      </c>
      <c r="AS25" s="11" t="s">
        <v>104</v>
      </c>
      <c r="AT25" s="108">
        <v>225</v>
      </c>
      <c r="AU25" s="108">
        <v>225</v>
      </c>
      <c r="AV25" s="108">
        <v>530.20000000000005</v>
      </c>
      <c r="AW25" s="108">
        <v>289.2</v>
      </c>
      <c r="AX25" s="108">
        <v>216.9</v>
      </c>
      <c r="BC25" s="103"/>
      <c r="BD25" s="11"/>
      <c r="BF25" s="103"/>
    </row>
    <row r="26" spans="1:58" ht="15.75" customHeight="1">
      <c r="A26" s="113" t="s">
        <v>83</v>
      </c>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217" t="s">
        <v>263</v>
      </c>
      <c r="AC26" s="218"/>
      <c r="AD26" s="219"/>
      <c r="AE26" s="82"/>
      <c r="AF26" s="82"/>
      <c r="AG26" s="129">
        <v>3</v>
      </c>
      <c r="AH26" s="85">
        <v>345</v>
      </c>
      <c r="AJ26" s="85">
        <v>25</v>
      </c>
      <c r="AK26" s="85">
        <v>-13.2</v>
      </c>
      <c r="AL26" s="180">
        <v>0</v>
      </c>
      <c r="AM26" s="107">
        <f>SUM(AH26:AK26)</f>
        <v>356.8</v>
      </c>
      <c r="AS26" s="11" t="s">
        <v>104</v>
      </c>
      <c r="AT26" s="41">
        <v>357</v>
      </c>
      <c r="AU26" s="41"/>
      <c r="AV26" s="41"/>
      <c r="AW26" s="41"/>
      <c r="AX26" s="41"/>
      <c r="BC26" s="103"/>
      <c r="BD26" s="11"/>
      <c r="BF26" s="103"/>
    </row>
    <row r="27" spans="1:58" ht="15.75" customHeight="1">
      <c r="A27" s="113" t="s">
        <v>81</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130"/>
      <c r="AG27" s="129"/>
      <c r="AM27" s="107">
        <f t="shared" si="0"/>
        <v>0</v>
      </c>
      <c r="AS27" s="11" t="s">
        <v>104</v>
      </c>
      <c r="AU27" s="41"/>
      <c r="AV27" s="41"/>
      <c r="AW27" s="41"/>
      <c r="AX27" s="41"/>
      <c r="BC27" s="103"/>
      <c r="BD27" s="11"/>
      <c r="BF27" s="103"/>
    </row>
    <row r="28" spans="1:58" ht="15.75" customHeight="1">
      <c r="A28" s="113" t="s">
        <v>81</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129"/>
      <c r="AM28" s="107">
        <f>SUM(AH28:AL28)</f>
        <v>0</v>
      </c>
      <c r="AS28" s="11" t="s">
        <v>104</v>
      </c>
      <c r="AU28" s="41"/>
      <c r="AV28" s="41"/>
      <c r="AW28" s="41"/>
      <c r="AX28" s="41"/>
      <c r="BF28" s="103"/>
    </row>
    <row r="29" spans="1:58" ht="15.75" customHeight="1">
      <c r="A29" s="113" t="s">
        <v>84</v>
      </c>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129"/>
      <c r="AM29" s="107">
        <f t="shared" si="0"/>
        <v>0</v>
      </c>
      <c r="AS29" s="11" t="s">
        <v>104</v>
      </c>
      <c r="AU29" s="41"/>
      <c r="AV29" s="41"/>
      <c r="AW29" s="41"/>
      <c r="AX29" s="41"/>
      <c r="BC29" s="103"/>
      <c r="BD29" s="101"/>
      <c r="BF29" s="102"/>
    </row>
    <row r="30" spans="1:58" ht="15.75" customHeight="1">
      <c r="A30" s="113" t="s">
        <v>85</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131"/>
      <c r="AG30" s="129"/>
      <c r="AM30" s="107">
        <f>SUM(AH30:AL30)</f>
        <v>0</v>
      </c>
      <c r="AS30" s="11" t="s">
        <v>104</v>
      </c>
      <c r="AU30" s="41"/>
      <c r="AV30" s="41"/>
      <c r="AW30" s="41"/>
      <c r="AX30" s="41"/>
      <c r="BA30" s="102"/>
      <c r="BB30" s="102"/>
      <c r="BC30" s="102"/>
      <c r="BD30" s="101"/>
      <c r="BE30" s="101"/>
      <c r="BF30" s="102"/>
    </row>
    <row r="31" spans="1:58" ht="15.75" customHeight="1">
      <c r="A31" s="113" t="s">
        <v>86</v>
      </c>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129"/>
      <c r="AM31" s="107">
        <f>SUM(AH31:AL31)</f>
        <v>0</v>
      </c>
      <c r="AS31" s="11" t="s">
        <v>104</v>
      </c>
      <c r="AU31" s="41"/>
      <c r="AV31" s="41"/>
      <c r="AW31" s="41"/>
      <c r="AX31" s="41"/>
      <c r="AY31" s="102"/>
      <c r="AZ31" s="102"/>
      <c r="BA31" s="102"/>
      <c r="BB31" s="102"/>
      <c r="BC31" s="102"/>
      <c r="BD31" s="101"/>
      <c r="BE31" s="101"/>
      <c r="BF31" s="102"/>
    </row>
    <row r="32" spans="1:58" ht="15.75" customHeight="1">
      <c r="A32" s="113" t="s">
        <v>87</v>
      </c>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128"/>
      <c r="AG32" s="129"/>
      <c r="AM32" s="107">
        <f>SUM(AH32:AL32)</f>
        <v>0</v>
      </c>
      <c r="AS32" s="11" t="s">
        <v>104</v>
      </c>
      <c r="AU32" s="41"/>
      <c r="AV32" s="41"/>
      <c r="AW32" s="41"/>
      <c r="AX32" s="41"/>
      <c r="BC32" s="103"/>
      <c r="BD32" s="11"/>
      <c r="BF32" s="103"/>
    </row>
    <row r="33" spans="1:58" ht="15.75" customHeight="1">
      <c r="A33" s="113" t="s">
        <v>80</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129"/>
      <c r="AM33" s="107">
        <f>SUM(AH33:AL33)</f>
        <v>0</v>
      </c>
      <c r="AS33" s="11" t="s">
        <v>104</v>
      </c>
      <c r="AU33" s="41"/>
      <c r="AV33" s="41"/>
      <c r="AW33" s="41"/>
      <c r="AX33" s="41"/>
      <c r="BD33" s="11"/>
    </row>
    <row r="34" spans="1:58" ht="15.75" customHeight="1">
      <c r="B34" s="11">
        <v>1</v>
      </c>
      <c r="C34" s="11">
        <v>1</v>
      </c>
      <c r="D34" s="11">
        <v>1</v>
      </c>
      <c r="E34" s="11">
        <v>1</v>
      </c>
      <c r="F34" s="11">
        <v>1</v>
      </c>
      <c r="G34" s="11">
        <v>1</v>
      </c>
      <c r="H34" s="11">
        <v>1</v>
      </c>
      <c r="I34" s="11">
        <v>1</v>
      </c>
      <c r="J34" s="11">
        <v>1</v>
      </c>
      <c r="K34" s="11">
        <v>1</v>
      </c>
      <c r="L34" s="11">
        <v>1</v>
      </c>
      <c r="M34" s="11">
        <v>1</v>
      </c>
      <c r="N34" s="11">
        <v>1</v>
      </c>
      <c r="O34" s="11">
        <v>1</v>
      </c>
      <c r="P34" s="11">
        <v>1</v>
      </c>
      <c r="Q34" s="11">
        <v>1</v>
      </c>
      <c r="R34" s="11">
        <v>1</v>
      </c>
      <c r="S34" s="11">
        <v>1</v>
      </c>
      <c r="T34" s="11">
        <v>1</v>
      </c>
      <c r="U34" s="11">
        <v>1</v>
      </c>
      <c r="V34" s="11">
        <v>1</v>
      </c>
      <c r="W34" s="11">
        <v>1</v>
      </c>
      <c r="X34" s="11">
        <v>1</v>
      </c>
      <c r="Y34" s="11">
        <v>1</v>
      </c>
      <c r="Z34" s="11">
        <v>1</v>
      </c>
      <c r="AA34" s="11">
        <v>1</v>
      </c>
      <c r="AB34" s="11">
        <v>1</v>
      </c>
      <c r="AC34" s="11">
        <v>1</v>
      </c>
      <c r="AD34" s="11">
        <v>1</v>
      </c>
      <c r="AE34" s="11">
        <v>1</v>
      </c>
      <c r="AF34" s="11">
        <v>1</v>
      </c>
      <c r="AS34" s="85"/>
      <c r="AU34" s="41"/>
      <c r="AV34" s="41"/>
      <c r="AW34" s="41"/>
      <c r="AX34" s="41"/>
      <c r="BD34" s="11"/>
    </row>
    <row r="35" spans="1:58" ht="15.75" customHeight="1">
      <c r="AI35" s="226">
        <f>SUM(AH4:AJ33)</f>
        <v>7410</v>
      </c>
      <c r="AJ35" s="226"/>
      <c r="AK35" s="129"/>
      <c r="AL35" s="226">
        <f>SUM(AM4:AM33)</f>
        <v>7255.8600000000006</v>
      </c>
      <c r="AM35" s="226"/>
      <c r="AU35" s="41"/>
      <c r="AV35" s="41"/>
      <c r="AW35" s="41"/>
      <c r="AX35" s="41"/>
    </row>
    <row r="36" spans="1:58" ht="15.75" customHeight="1">
      <c r="AG36" s="11"/>
      <c r="AH36" s="11"/>
      <c r="AI36" s="11"/>
      <c r="AJ36" s="167" t="s">
        <v>261</v>
      </c>
      <c r="AM36" s="168" t="s">
        <v>93</v>
      </c>
    </row>
    <row r="37" spans="1:58" ht="15.75" hidden="1" customHeight="1">
      <c r="A37" s="216" t="s">
        <v>115</v>
      </c>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BC37" s="103"/>
      <c r="BD37" s="11"/>
      <c r="BF37" s="103"/>
    </row>
    <row r="38" spans="1:58" ht="4.5" hidden="1" customHeight="1">
      <c r="A38" s="119"/>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BC38" s="103"/>
      <c r="BD38" s="11"/>
      <c r="BF38" s="103"/>
    </row>
    <row r="39" spans="1:58" ht="15.75" hidden="1" customHeight="1">
      <c r="B39" s="11">
        <v>1</v>
      </c>
      <c r="C39" s="11">
        <v>2</v>
      </c>
      <c r="D39" s="11">
        <v>3</v>
      </c>
      <c r="E39" s="11">
        <v>4</v>
      </c>
      <c r="F39" s="11">
        <v>5</v>
      </c>
      <c r="G39" s="11">
        <v>6</v>
      </c>
      <c r="H39" s="11">
        <v>7</v>
      </c>
      <c r="I39" s="11">
        <v>8</v>
      </c>
      <c r="J39" s="11">
        <v>9</v>
      </c>
      <c r="K39" s="11">
        <v>10</v>
      </c>
      <c r="L39" s="11">
        <v>11</v>
      </c>
      <c r="M39" s="11">
        <v>12</v>
      </c>
      <c r="N39" s="11">
        <v>13</v>
      </c>
      <c r="O39" s="11">
        <v>14</v>
      </c>
      <c r="P39" s="11">
        <v>15</v>
      </c>
      <c r="Q39" s="11">
        <v>16</v>
      </c>
      <c r="R39" s="11">
        <v>17</v>
      </c>
      <c r="S39" s="11">
        <v>18</v>
      </c>
      <c r="T39" s="11">
        <v>19</v>
      </c>
      <c r="U39" s="11">
        <v>20</v>
      </c>
      <c r="V39" s="11">
        <v>21</v>
      </c>
      <c r="W39" s="11">
        <v>22</v>
      </c>
      <c r="X39" s="11">
        <v>23</v>
      </c>
      <c r="Y39" s="11">
        <v>24</v>
      </c>
      <c r="Z39" s="11">
        <v>25</v>
      </c>
      <c r="AA39" s="11">
        <v>26</v>
      </c>
      <c r="AB39" s="11">
        <v>27</v>
      </c>
      <c r="AC39" s="11">
        <v>28</v>
      </c>
      <c r="AD39" s="11">
        <v>29</v>
      </c>
      <c r="AE39" s="11">
        <v>30</v>
      </c>
      <c r="AF39" s="11">
        <v>31</v>
      </c>
      <c r="AG39" s="86"/>
      <c r="AJ39" s="86"/>
      <c r="AK39" s="86"/>
      <c r="AL39" s="181"/>
      <c r="AM39" s="86"/>
      <c r="BC39" s="103"/>
      <c r="BD39" s="11"/>
      <c r="BF39" s="103"/>
    </row>
    <row r="40" spans="1:58" ht="15.75" hidden="1" customHeight="1">
      <c r="A40" s="113" t="s">
        <v>81</v>
      </c>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H40" s="106">
        <v>600</v>
      </c>
      <c r="AM40" s="107"/>
      <c r="BC40" s="103"/>
      <c r="BD40" s="11"/>
      <c r="BF40" s="103"/>
    </row>
    <row r="41" spans="1:58" ht="15.75" hidden="1" customHeight="1">
      <c r="A41" s="113" t="s">
        <v>82</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H41" s="106">
        <v>600</v>
      </c>
      <c r="AM41" s="107"/>
      <c r="BC41" s="103"/>
      <c r="BD41" s="11"/>
      <c r="BF41" s="103"/>
    </row>
    <row r="42" spans="1:58" ht="15.75" hidden="1" customHeight="1">
      <c r="A42" s="113" t="s">
        <v>83</v>
      </c>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H42" s="106">
        <v>600</v>
      </c>
      <c r="AM42" s="107"/>
      <c r="BC42" s="103"/>
      <c r="BD42" s="11"/>
      <c r="BF42" s="103"/>
    </row>
    <row r="43" spans="1:58" ht="15.75" hidden="1" customHeight="1">
      <c r="A43" s="113" t="s">
        <v>84</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H43" s="106">
        <v>600</v>
      </c>
      <c r="AM43" s="107"/>
      <c r="BC43" s="103"/>
      <c r="BD43" s="11"/>
      <c r="BF43" s="103"/>
    </row>
    <row r="44" spans="1:58" ht="15.75" hidden="1" customHeight="1">
      <c r="A44" s="113" t="s">
        <v>83</v>
      </c>
      <c r="B44" s="220"/>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2"/>
      <c r="AG44" s="106"/>
      <c r="AH44" s="106">
        <v>600</v>
      </c>
      <c r="AI44" s="110"/>
      <c r="AJ44" s="110"/>
      <c r="AK44" s="110"/>
      <c r="AL44" s="112"/>
      <c r="AM44" s="107"/>
      <c r="AT44" s="108"/>
      <c r="AU44" s="109"/>
      <c r="BC44" s="103"/>
      <c r="BD44" s="11"/>
      <c r="BF44" s="103"/>
    </row>
    <row r="45" spans="1:58" ht="15.75" hidden="1" customHeight="1">
      <c r="A45" s="113" t="s">
        <v>81</v>
      </c>
      <c r="B45" s="220"/>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2"/>
      <c r="AG45" s="106"/>
      <c r="AH45" s="106">
        <v>600</v>
      </c>
      <c r="AI45" s="110"/>
      <c r="AJ45" s="106"/>
      <c r="AK45" s="106"/>
      <c r="AL45" s="182"/>
      <c r="AM45" s="107"/>
      <c r="AT45" s="108"/>
      <c r="BC45" s="103"/>
      <c r="BD45" s="11"/>
      <c r="BF45" s="103"/>
    </row>
    <row r="46" spans="1:58" ht="15.75" hidden="1" customHeight="1">
      <c r="A46" s="113" t="s">
        <v>81</v>
      </c>
      <c r="B46" s="95"/>
      <c r="C46" s="95"/>
      <c r="D46" s="95"/>
      <c r="E46" s="95"/>
      <c r="F46" s="95"/>
      <c r="G46" s="95"/>
      <c r="H46" s="95"/>
      <c r="I46" s="95"/>
      <c r="J46" s="95"/>
      <c r="K46" s="95"/>
      <c r="L46" s="95"/>
      <c r="M46" s="95"/>
      <c r="N46" s="95"/>
      <c r="O46" s="223"/>
      <c r="P46" s="224"/>
      <c r="Q46" s="224"/>
      <c r="R46" s="225"/>
      <c r="S46" s="220"/>
      <c r="T46" s="221"/>
      <c r="U46" s="221"/>
      <c r="V46" s="222"/>
      <c r="W46" s="96"/>
      <c r="X46" s="96"/>
      <c r="Y46" s="96"/>
      <c r="Z46" s="96"/>
      <c r="AA46" s="220"/>
      <c r="AB46" s="221"/>
      <c r="AC46" s="222"/>
      <c r="AD46" s="96"/>
      <c r="AE46" s="96"/>
      <c r="AF46" s="84"/>
      <c r="AG46" s="106">
        <v>11</v>
      </c>
      <c r="AH46" s="106">
        <f>AH47</f>
        <v>1875</v>
      </c>
      <c r="AI46" s="106"/>
      <c r="AJ46" s="106"/>
      <c r="AK46" s="106"/>
      <c r="AL46" s="112"/>
      <c r="AM46" s="107"/>
      <c r="AT46" s="108"/>
      <c r="AU46" s="108"/>
      <c r="BF46" s="103"/>
    </row>
    <row r="47" spans="1:58" ht="15.75" hidden="1" customHeight="1">
      <c r="A47" s="113" t="s">
        <v>84</v>
      </c>
      <c r="B47" s="96"/>
      <c r="C47" s="96"/>
      <c r="D47" s="96"/>
      <c r="E47" s="205"/>
      <c r="F47" s="206"/>
      <c r="G47" s="207"/>
      <c r="H47" s="96"/>
      <c r="I47" s="208"/>
      <c r="J47" s="209"/>
      <c r="K47" s="210"/>
      <c r="L47" s="208"/>
      <c r="M47" s="209"/>
      <c r="N47" s="209"/>
      <c r="O47" s="209"/>
      <c r="P47" s="209"/>
      <c r="Q47" s="209"/>
      <c r="R47" s="210"/>
      <c r="S47" s="220"/>
      <c r="T47" s="221"/>
      <c r="U47" s="221"/>
      <c r="V47" s="221"/>
      <c r="W47" s="221"/>
      <c r="X47" s="221"/>
      <c r="Y47" s="221"/>
      <c r="Z47" s="221"/>
      <c r="AA47" s="221"/>
      <c r="AB47" s="221"/>
      <c r="AC47" s="221"/>
      <c r="AD47" s="221"/>
      <c r="AE47" s="221"/>
      <c r="AF47" s="222"/>
      <c r="AG47" s="106">
        <v>25</v>
      </c>
      <c r="AH47" s="106">
        <f>AG47*75</f>
        <v>1875</v>
      </c>
      <c r="AI47" s="106"/>
      <c r="AJ47" s="106"/>
      <c r="AK47" s="106"/>
      <c r="AL47" s="182"/>
      <c r="AM47" s="107"/>
      <c r="AY47" s="100"/>
      <c r="BC47" s="103"/>
      <c r="BD47" s="101"/>
      <c r="BF47" s="102"/>
    </row>
    <row r="48" spans="1:58" ht="15.75" hidden="1" customHeight="1">
      <c r="A48" s="113" t="s">
        <v>85</v>
      </c>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97"/>
      <c r="AG48" s="106"/>
      <c r="AH48" s="106">
        <v>600</v>
      </c>
      <c r="AI48" s="106"/>
      <c r="AJ48" s="106"/>
      <c r="AK48" s="106"/>
      <c r="AL48" s="182"/>
      <c r="AM48" s="107"/>
      <c r="AU48" s="111"/>
      <c r="AY48" s="102"/>
      <c r="AZ48" s="102"/>
      <c r="BA48" s="102"/>
      <c r="BB48" s="102"/>
      <c r="BC48" s="102"/>
      <c r="BD48" s="101"/>
      <c r="BE48" s="101"/>
      <c r="BF48" s="102"/>
    </row>
    <row r="49" spans="1:58" ht="15.75" hidden="1" customHeight="1">
      <c r="A49" s="113" t="s">
        <v>86</v>
      </c>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H49" s="106">
        <v>600</v>
      </c>
      <c r="AY49" s="102"/>
      <c r="AZ49" s="102"/>
      <c r="BA49" s="102"/>
      <c r="BB49" s="102"/>
      <c r="BC49" s="102"/>
      <c r="BD49" s="101"/>
      <c r="BE49" s="101"/>
      <c r="BF49" s="102"/>
    </row>
    <row r="50" spans="1:58" ht="15.75" hidden="1" customHeight="1">
      <c r="A50" s="113" t="s">
        <v>87</v>
      </c>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83"/>
      <c r="AH50" s="106">
        <v>600</v>
      </c>
      <c r="BC50" s="103"/>
      <c r="BD50" s="11"/>
      <c r="BF50" s="103"/>
    </row>
    <row r="51" spans="1:58" ht="15.75" hidden="1" customHeight="1">
      <c r="A51" s="113" t="s">
        <v>80</v>
      </c>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H51" s="106">
        <v>600</v>
      </c>
      <c r="BD51" s="11"/>
    </row>
    <row r="52" spans="1:58" ht="15.75" hidden="1" customHeight="1">
      <c r="B52" s="11">
        <v>1</v>
      </c>
      <c r="C52" s="11">
        <v>1</v>
      </c>
      <c r="D52" s="11">
        <v>1</v>
      </c>
      <c r="E52" s="11">
        <v>1</v>
      </c>
      <c r="F52" s="11">
        <v>1</v>
      </c>
      <c r="G52" s="11">
        <v>1</v>
      </c>
      <c r="H52" s="11">
        <v>1</v>
      </c>
      <c r="I52" s="11">
        <v>1</v>
      </c>
      <c r="J52" s="11">
        <v>1</v>
      </c>
      <c r="K52" s="11">
        <v>1</v>
      </c>
      <c r="L52" s="11">
        <v>1</v>
      </c>
      <c r="M52" s="11">
        <v>1</v>
      </c>
      <c r="N52" s="11">
        <v>1</v>
      </c>
      <c r="O52" s="11">
        <v>1</v>
      </c>
      <c r="P52" s="11">
        <v>1</v>
      </c>
      <c r="Q52" s="11">
        <v>1</v>
      </c>
      <c r="R52" s="11">
        <v>1</v>
      </c>
      <c r="S52" s="11">
        <v>1</v>
      </c>
      <c r="T52" s="11">
        <v>1</v>
      </c>
      <c r="U52" s="11">
        <v>1</v>
      </c>
      <c r="V52" s="11">
        <v>1</v>
      </c>
      <c r="W52" s="11">
        <v>1</v>
      </c>
      <c r="X52" s="11">
        <v>1</v>
      </c>
      <c r="Y52" s="11">
        <v>1</v>
      </c>
      <c r="Z52" s="11">
        <v>1</v>
      </c>
      <c r="AA52" s="11">
        <v>1</v>
      </c>
      <c r="AB52" s="11">
        <v>1</v>
      </c>
      <c r="AC52" s="11">
        <v>1</v>
      </c>
      <c r="AD52" s="11">
        <v>1</v>
      </c>
      <c r="AE52" s="11">
        <v>1</v>
      </c>
      <c r="AF52" s="11">
        <v>1</v>
      </c>
      <c r="AH52" s="85">
        <f>SUM(AH40:AH51)</f>
        <v>9750</v>
      </c>
      <c r="BD52" s="11"/>
    </row>
    <row r="53" spans="1:58" ht="15.75" hidden="1" customHeight="1">
      <c r="AH53" s="141">
        <f>AH52/110000</f>
        <v>8.8636363636363638E-2</v>
      </c>
    </row>
    <row r="54" spans="1:58" ht="15.75" customHeight="1">
      <c r="N54" s="165"/>
      <c r="O54" s="165"/>
      <c r="P54" s="165"/>
      <c r="Q54" s="165"/>
      <c r="R54" s="165"/>
      <c r="S54" s="165"/>
      <c r="T54" s="165"/>
      <c r="U54" s="165"/>
      <c r="V54" s="165"/>
      <c r="W54" s="165"/>
      <c r="X54" s="165"/>
      <c r="Y54" s="165"/>
      <c r="Z54" s="165"/>
      <c r="AA54" s="165"/>
      <c r="AB54" s="165"/>
      <c r="AC54" s="165"/>
      <c r="AD54" s="165"/>
      <c r="AE54" s="165"/>
      <c r="AF54" s="165"/>
      <c r="AG54" s="166"/>
      <c r="AH54" s="166"/>
      <c r="AI54" s="166"/>
      <c r="AJ54" s="166"/>
      <c r="AK54" s="166"/>
    </row>
    <row r="55" spans="1:58" ht="15.75" customHeight="1">
      <c r="J55" s="41"/>
      <c r="N55" s="165"/>
      <c r="O55" s="165"/>
      <c r="P55" s="165"/>
      <c r="Q55" s="165"/>
      <c r="R55" s="165"/>
      <c r="S55" s="165"/>
      <c r="T55" s="165"/>
      <c r="U55" s="165"/>
      <c r="V55" s="165"/>
      <c r="W55" s="165"/>
      <c r="X55" s="165"/>
      <c r="Y55" s="165"/>
      <c r="Z55" s="165"/>
      <c r="AA55" s="165"/>
      <c r="AB55" s="165"/>
      <c r="AC55" s="165"/>
      <c r="AD55" s="165"/>
      <c r="AE55" s="165"/>
      <c r="AF55" s="165"/>
      <c r="AG55" s="166"/>
      <c r="AH55" s="166"/>
      <c r="AI55" s="166"/>
      <c r="AJ55" s="166"/>
      <c r="AK55" s="166"/>
    </row>
  </sheetData>
  <mergeCells count="33">
    <mergeCell ref="AA8:AC8"/>
    <mergeCell ref="F22:H22"/>
    <mergeCell ref="T22:W22"/>
    <mergeCell ref="AA22:AC22"/>
    <mergeCell ref="H23:O23"/>
    <mergeCell ref="P23:R23"/>
    <mergeCell ref="U23:W23"/>
    <mergeCell ref="Z23:AA23"/>
    <mergeCell ref="A19:AF19"/>
    <mergeCell ref="P7:R7"/>
    <mergeCell ref="A1:AF1"/>
    <mergeCell ref="AB4:AD4"/>
    <mergeCell ref="D5:O5"/>
    <mergeCell ref="Q5:R5"/>
    <mergeCell ref="T5:Z5"/>
    <mergeCell ref="L7:N7"/>
    <mergeCell ref="S7:U7"/>
    <mergeCell ref="AD7:AE7"/>
    <mergeCell ref="AI35:AJ35"/>
    <mergeCell ref="AL35:AM35"/>
    <mergeCell ref="A37:AF37"/>
    <mergeCell ref="B44:AF44"/>
    <mergeCell ref="D25:H25"/>
    <mergeCell ref="L25:Y25"/>
    <mergeCell ref="E47:G47"/>
    <mergeCell ref="I47:K47"/>
    <mergeCell ref="L47:R47"/>
    <mergeCell ref="S47:AF47"/>
    <mergeCell ref="AB26:AD26"/>
    <mergeCell ref="B45:AF45"/>
    <mergeCell ref="O46:R46"/>
    <mergeCell ref="S46:V46"/>
    <mergeCell ref="AA46:AC46"/>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331EC-BB4E-4322-86F7-39E2CDF7715C}">
  <dimension ref="A1:O49"/>
  <sheetViews>
    <sheetView showGridLines="0" zoomScale="90" zoomScaleNormal="90" workbookViewId="0">
      <selection activeCell="O36" sqref="O36"/>
    </sheetView>
  </sheetViews>
  <sheetFormatPr defaultColWidth="9.1796875" defaultRowHeight="13.5" customHeight="1"/>
  <cols>
    <col min="1" max="1" width="50.453125" style="1" customWidth="1"/>
    <col min="2" max="2" width="9.26953125" style="1" customWidth="1"/>
    <col min="3" max="3" width="14.54296875" style="1" customWidth="1"/>
    <col min="4" max="4" width="13.453125" style="1" customWidth="1"/>
    <col min="5" max="16384" width="9.1796875" style="1"/>
  </cols>
  <sheetData>
    <row r="1" spans="1:5" ht="13.5" customHeight="1">
      <c r="A1" s="1" t="s">
        <v>116</v>
      </c>
    </row>
    <row r="2" spans="1:5" ht="13.5" customHeight="1">
      <c r="A2" s="114" t="s">
        <v>117</v>
      </c>
    </row>
    <row r="3" spans="1:5" ht="13.5" customHeight="1">
      <c r="A3" s="115" t="s">
        <v>118</v>
      </c>
      <c r="C3" s="1" t="s">
        <v>124</v>
      </c>
      <c r="E3" s="1" t="s">
        <v>125</v>
      </c>
    </row>
    <row r="4" spans="1:5" ht="13.5" customHeight="1">
      <c r="A4" s="116" t="s">
        <v>119</v>
      </c>
    </row>
    <row r="5" spans="1:5" ht="13.5" customHeight="1">
      <c r="A5" s="1" t="s">
        <v>120</v>
      </c>
    </row>
    <row r="6" spans="1:5" ht="13.5" customHeight="1">
      <c r="A6" s="117" t="s">
        <v>122</v>
      </c>
    </row>
    <row r="7" spans="1:5" ht="13.5" customHeight="1">
      <c r="A7" s="117" t="s">
        <v>123</v>
      </c>
    </row>
    <row r="8" spans="1:5" ht="13.5" customHeight="1">
      <c r="A8" s="1" t="s">
        <v>126</v>
      </c>
      <c r="C8" s="1" t="s">
        <v>121</v>
      </c>
    </row>
    <row r="15" spans="1:5" ht="13.5" customHeight="1">
      <c r="A15" s="1" t="s">
        <v>127</v>
      </c>
    </row>
    <row r="16" spans="1:5" ht="13.5" customHeight="1">
      <c r="A16" s="1" t="s">
        <v>128</v>
      </c>
    </row>
    <row r="17" spans="1:2" ht="13.5" customHeight="1">
      <c r="A17" s="1" t="s">
        <v>129</v>
      </c>
      <c r="B17" s="1" t="s">
        <v>132</v>
      </c>
    </row>
    <row r="18" spans="1:2" ht="13.5" customHeight="1">
      <c r="A18" s="1" t="s">
        <v>133</v>
      </c>
      <c r="B18" s="1" t="s">
        <v>132</v>
      </c>
    </row>
    <row r="19" spans="1:2" ht="13.5" customHeight="1">
      <c r="A19" s="1" t="s">
        <v>134</v>
      </c>
      <c r="B19" s="1" t="s">
        <v>132</v>
      </c>
    </row>
    <row r="20" spans="1:2" ht="13.5" customHeight="1">
      <c r="A20" s="1" t="s">
        <v>135</v>
      </c>
      <c r="B20" s="1" t="s">
        <v>132</v>
      </c>
    </row>
    <row r="24" spans="1:2" ht="13.5" customHeight="1">
      <c r="A24" s="1" t="s">
        <v>130</v>
      </c>
      <c r="B24" s="1" t="s">
        <v>132</v>
      </c>
    </row>
    <row r="25" spans="1:2" ht="13.5" customHeight="1">
      <c r="A25" s="1" t="s">
        <v>131</v>
      </c>
      <c r="B25" s="1" t="s">
        <v>132</v>
      </c>
    </row>
    <row r="33" spans="1:15" ht="13.5" customHeight="1">
      <c r="A33" s="2" t="s">
        <v>140</v>
      </c>
      <c r="C33" s="5" t="s">
        <v>139</v>
      </c>
      <c r="G33" s="1" t="s">
        <v>146</v>
      </c>
    </row>
    <row r="35" spans="1:15" ht="13.5" customHeight="1">
      <c r="A35" s="1" t="s">
        <v>141</v>
      </c>
      <c r="C35" s="3">
        <f>C37/0.75</f>
        <v>4266.666666666667</v>
      </c>
      <c r="G35" s="15">
        <f>C35/30</f>
        <v>142.22222222222223</v>
      </c>
      <c r="O35" s="12">
        <f>6000-C35</f>
        <v>1733.333333333333</v>
      </c>
    </row>
    <row r="36" spans="1:15" ht="13.5" customHeight="1">
      <c r="A36" s="1" t="s">
        <v>142</v>
      </c>
      <c r="C36" s="80">
        <f>-C35*0.25</f>
        <v>-1066.6666666666667</v>
      </c>
      <c r="O36" s="15">
        <f>O35*0.1</f>
        <v>173.33333333333331</v>
      </c>
    </row>
    <row r="37" spans="1:15" ht="13.5" customHeight="1">
      <c r="A37" s="1" t="s">
        <v>144</v>
      </c>
      <c r="C37" s="46">
        <f>-C44</f>
        <v>3200</v>
      </c>
      <c r="D37" s="125">
        <v>0.75</v>
      </c>
    </row>
    <row r="38" spans="1:15" ht="13.5" customHeight="1">
      <c r="C38" s="3"/>
    </row>
    <row r="39" spans="1:15" ht="13.5" customHeight="1">
      <c r="A39" s="1" t="s">
        <v>143</v>
      </c>
      <c r="C39" s="3">
        <v>-1700</v>
      </c>
      <c r="K39" s="1">
        <v>100</v>
      </c>
    </row>
    <row r="40" spans="1:15" ht="13.5" customHeight="1">
      <c r="A40" s="1" t="s">
        <v>136</v>
      </c>
      <c r="C40" s="24">
        <v>-600</v>
      </c>
      <c r="K40" s="1">
        <v>400</v>
      </c>
    </row>
    <row r="41" spans="1:15" ht="13.5" customHeight="1">
      <c r="A41" s="1" t="s">
        <v>137</v>
      </c>
      <c r="C41" s="3">
        <v>-200</v>
      </c>
      <c r="K41" s="1">
        <v>300</v>
      </c>
    </row>
    <row r="42" spans="1:15" ht="13.5" customHeight="1">
      <c r="A42" s="1" t="s">
        <v>138</v>
      </c>
      <c r="C42" s="3">
        <v>-200</v>
      </c>
      <c r="K42" s="124">
        <f>K41/K40</f>
        <v>0.75</v>
      </c>
    </row>
    <row r="43" spans="1:15" ht="13.5" customHeight="1">
      <c r="A43" s="1" t="s">
        <v>17</v>
      </c>
      <c r="C43" s="80">
        <v>-500</v>
      </c>
    </row>
    <row r="44" spans="1:15" ht="13.5" customHeight="1">
      <c r="C44" s="39">
        <f>SUM(C39:C43)</f>
        <v>-3200</v>
      </c>
    </row>
    <row r="45" spans="1:15" ht="13.5" customHeight="1">
      <c r="C45" s="46"/>
    </row>
    <row r="46" spans="1:15" ht="13.5" customHeight="1">
      <c r="A46" s="1" t="s">
        <v>145</v>
      </c>
      <c r="C46" s="43">
        <f>C37+C44</f>
        <v>0</v>
      </c>
    </row>
    <row r="47" spans="1:15" ht="13.5" customHeight="1">
      <c r="C47" s="43"/>
    </row>
    <row r="48" spans="1:15" ht="13.5" customHeight="1">
      <c r="C48" s="43"/>
    </row>
    <row r="49" spans="3:3" ht="13.5" customHeight="1">
      <c r="C49" s="4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Banque</vt:lpstr>
      <vt:lpstr>BP Italy</vt:lpstr>
      <vt:lpstr>Business plan</vt:lpstr>
      <vt:lpstr>Journal Achat</vt:lpstr>
      <vt:lpstr>M</vt:lpstr>
      <vt:lpstr>2042 C-PRO</vt:lpstr>
      <vt:lpstr>Revenus 1 an</vt:lpstr>
      <vt:lpstr>Planning (2022)</vt:lpstr>
      <vt:lpstr>Bar a socca</vt:lpstr>
    </vt:vector>
  </TitlesOfParts>
  <Company>SBM Offshore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Filly Loic</dc:creator>
  <cp:lastModifiedBy>Filly, Loic</cp:lastModifiedBy>
  <cp:lastPrinted>2022-04-27T17:27:52Z</cp:lastPrinted>
  <dcterms:created xsi:type="dcterms:W3CDTF">2020-06-02T14:37:57Z</dcterms:created>
  <dcterms:modified xsi:type="dcterms:W3CDTF">2024-02-12T17:00:58Z</dcterms:modified>
</cp:coreProperties>
</file>